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ial Aid Reports\"/>
    </mc:Choice>
  </mc:AlternateContent>
  <workbookProtection workbookPassword="DDED" lockStructure="1"/>
  <bookViews>
    <workbookView xWindow="360" yWindow="75" windowWidth="9375" windowHeight="3435"/>
  </bookViews>
  <sheets>
    <sheet name="Report" sheetId="1" r:id="rId1"/>
    <sheet name="Data" sheetId="2" state="hidden" r:id="rId2"/>
    <sheet name="Sheet1" sheetId="3" state="hidden" r:id="rId3"/>
  </sheets>
  <definedNames>
    <definedName name="_xlnm.Print_Area" localSheetId="1">Data!$A$152:$K$206</definedName>
    <definedName name="_xlnm.Print_Area" localSheetId="0">Report!$A$1:$AU$49</definedName>
    <definedName name="Z_BA9A371C_F5E4_48D6_83C9_79939E56F42F_.wvu.Cols" localSheetId="0" hidden="1">Report!$B:$AF</definedName>
    <definedName name="Z_BA9A371C_F5E4_48D6_83C9_79939E56F42F_.wvu.PrintArea" localSheetId="1" hidden="1">Data!$A$152:$K$206</definedName>
    <definedName name="Z_BA9A371C_F5E4_48D6_83C9_79939E56F42F_.wvu.PrintArea" localSheetId="0" hidden="1">Report!$A$1:$AU$49</definedName>
    <definedName name="Z_BA9A371C_F5E4_48D6_83C9_79939E56F42F_.wvu.Rows" localSheetId="0" hidden="1">Report!$10:$14</definedName>
  </definedNames>
  <calcPr calcId="162913"/>
  <customWorkbookViews>
    <customWorkbookView name="Dorman, Laura Gransky - Personal View" guid="{BA9A371C-F5E4-48D6-83C9-79939E56F42F}" mergeInterval="0" personalView="1" maximized="1" xWindow="-1928" yWindow="-8" windowWidth="1936" windowHeight="1176" activeSheetId="1"/>
  </customWorkbookViews>
</workbook>
</file>

<file path=xl/calcChain.xml><?xml version="1.0" encoding="utf-8"?>
<calcChain xmlns="http://schemas.openxmlformats.org/spreadsheetml/2006/main">
  <c r="AS33" i="1" l="1"/>
  <c r="AU34" i="1" l="1"/>
  <c r="AU33" i="1"/>
  <c r="AU27" i="1"/>
  <c r="AU25" i="1"/>
  <c r="AU20" i="1"/>
  <c r="AU19" i="1"/>
  <c r="AU18" i="1"/>
  <c r="AO27" i="1" l="1"/>
  <c r="AO25" i="1"/>
  <c r="AO20" i="1"/>
  <c r="AO19" i="1"/>
  <c r="AO18" i="1"/>
  <c r="I226" i="2" l="1"/>
  <c r="B244" i="2"/>
  <c r="B229" i="2"/>
  <c r="C250" i="2"/>
  <c r="C251" i="2" s="1"/>
  <c r="D247" i="2"/>
  <c r="D249" i="2" s="1"/>
  <c r="I245" i="2"/>
  <c r="E242" i="2"/>
  <c r="E249" i="2" s="1"/>
  <c r="I241" i="2"/>
  <c r="F241" i="2"/>
  <c r="F249" i="2" s="1"/>
  <c r="C234" i="2"/>
  <c r="C235" i="2" s="1"/>
  <c r="D232" i="2"/>
  <c r="D234" i="2" s="1"/>
  <c r="I230" i="2"/>
  <c r="E227" i="2"/>
  <c r="E234" i="2" s="1"/>
  <c r="F226" i="2"/>
  <c r="F234" i="2" s="1"/>
  <c r="A242" i="2" l="1"/>
  <c r="A244" i="2" s="1"/>
  <c r="A227" i="2"/>
  <c r="A229" i="2" s="1"/>
  <c r="B234" i="2"/>
  <c r="B249" i="2"/>
  <c r="AS35" i="1" l="1"/>
  <c r="AO33" i="1"/>
  <c r="AO35" i="1" s="1"/>
  <c r="AM33" i="1" l="1"/>
  <c r="AM35" i="1" s="1"/>
  <c r="I216" i="2"/>
  <c r="C219" i="2"/>
  <c r="C220" i="2" s="1"/>
  <c r="AM19" i="1" s="1"/>
  <c r="D218" i="2"/>
  <c r="D220" i="2" s="1"/>
  <c r="B214" i="2"/>
  <c r="B220" i="2" s="1"/>
  <c r="AM18" i="1" s="1"/>
  <c r="E213" i="2"/>
  <c r="E220" i="2" s="1"/>
  <c r="I212" i="2"/>
  <c r="F212" i="2"/>
  <c r="F220" i="2" s="1"/>
  <c r="AM25" i="1" l="1"/>
  <c r="AM27" i="1"/>
  <c r="AS22" i="1"/>
  <c r="AM20" i="1"/>
  <c r="AM22" i="1" s="1"/>
  <c r="A213" i="2"/>
  <c r="A215" i="2" s="1"/>
  <c r="C205" i="2"/>
  <c r="C174" i="2"/>
  <c r="AS29" i="1" l="1"/>
  <c r="AO22" i="1"/>
  <c r="AO29" i="1" s="1"/>
  <c r="AM29" i="1"/>
  <c r="C190" i="2"/>
  <c r="C192" i="2" s="1"/>
  <c r="A183" i="2" l="1"/>
  <c r="AI33" i="1"/>
  <c r="AI35" i="1" s="1"/>
  <c r="D202" i="2"/>
  <c r="D204" i="2" s="1"/>
  <c r="D206" i="2" s="1"/>
  <c r="AK20" i="1" s="1"/>
  <c r="C206" i="2"/>
  <c r="AK19" i="1" s="1"/>
  <c r="B200" i="2"/>
  <c r="B206" i="2" s="1"/>
  <c r="AK18" i="1" s="1"/>
  <c r="E199" i="2"/>
  <c r="E206" i="2" s="1"/>
  <c r="AK25" i="1" s="1"/>
  <c r="I198" i="2"/>
  <c r="F198" i="2"/>
  <c r="F206" i="2" s="1"/>
  <c r="AK27" i="1" s="1"/>
  <c r="A199" i="2" l="1"/>
  <c r="A201" i="2" s="1"/>
  <c r="AK33" i="1"/>
  <c r="I183" i="2"/>
  <c r="D187" i="2"/>
  <c r="D189" i="2" s="1"/>
  <c r="D192" i="2" s="1"/>
  <c r="AI20" i="1" s="1"/>
  <c r="I169" i="2"/>
  <c r="AI19" i="1"/>
  <c r="B185" i="2"/>
  <c r="E184" i="2"/>
  <c r="E192" i="2" s="1"/>
  <c r="AI25" i="1" s="1"/>
  <c r="F183" i="2"/>
  <c r="F192" i="2" s="1"/>
  <c r="AI27" i="1" s="1"/>
  <c r="A184" i="2" l="1"/>
  <c r="AK35" i="1"/>
  <c r="AK22" i="1"/>
  <c r="AK29" i="1" s="1"/>
  <c r="A186" i="2"/>
  <c r="B192" i="2"/>
  <c r="AI18" i="1" s="1"/>
  <c r="AI22" i="1" s="1"/>
  <c r="AI29" i="1" s="1"/>
  <c r="AG33" i="1"/>
  <c r="AG35" i="1" s="1"/>
  <c r="AU35" i="1" s="1"/>
  <c r="AE33" i="1"/>
  <c r="C177" i="2"/>
  <c r="AG19" i="1" s="1"/>
  <c r="A169" i="2"/>
  <c r="B171" i="2"/>
  <c r="B177" i="2" s="1"/>
  <c r="AG18" i="1" s="1"/>
  <c r="E170" i="2"/>
  <c r="E177" i="2" s="1"/>
  <c r="AG25" i="1" s="1"/>
  <c r="F169" i="2"/>
  <c r="F177" i="2" s="1"/>
  <c r="AG27" i="1" s="1"/>
  <c r="D173" i="2"/>
  <c r="D175" i="2" s="1"/>
  <c r="C160" i="2"/>
  <c r="C163" i="2" s="1"/>
  <c r="AE19" i="1" s="1"/>
  <c r="E156" i="2"/>
  <c r="E163" i="2" s="1"/>
  <c r="AE25" i="1" s="1"/>
  <c r="F155" i="2"/>
  <c r="F163" i="2" s="1"/>
  <c r="AE27" i="1" s="1"/>
  <c r="B157" i="2"/>
  <c r="A157" i="2"/>
  <c r="D159" i="2"/>
  <c r="D161" i="2" s="1"/>
  <c r="D163" i="2" s="1"/>
  <c r="AE20" i="1" s="1"/>
  <c r="AE35" i="1" l="1"/>
  <c r="D177" i="2"/>
  <c r="AG20" i="1" s="1"/>
  <c r="AG22" i="1" s="1"/>
  <c r="A170" i="2"/>
  <c r="A172" i="2" s="1"/>
  <c r="A160" i="2"/>
  <c r="A162" i="2" s="1"/>
  <c r="B163" i="2"/>
  <c r="AE18" i="1" s="1"/>
  <c r="AC34" i="1"/>
  <c r="AC33" i="1"/>
  <c r="AC35" i="1" s="1"/>
  <c r="F140" i="2"/>
  <c r="F148" i="2" s="1"/>
  <c r="AC27" i="1" s="1"/>
  <c r="E141" i="2"/>
  <c r="E148" i="2" s="1"/>
  <c r="AC25" i="1" s="1"/>
  <c r="C144" i="2"/>
  <c r="C148" i="2" s="1"/>
  <c r="AC19" i="1" s="1"/>
  <c r="B142" i="2"/>
  <c r="B146" i="2" s="1"/>
  <c r="AC18" i="1" s="1"/>
  <c r="D143" i="2"/>
  <c r="D146" i="2" s="1"/>
  <c r="D148" i="2" s="1"/>
  <c r="AC20" i="1" s="1"/>
  <c r="AG29" i="1" l="1"/>
  <c r="AU29" i="1" s="1"/>
  <c r="AU22" i="1"/>
  <c r="AE22" i="1"/>
  <c r="A139" i="2"/>
  <c r="A142" i="2" s="1"/>
  <c r="AC22" i="1"/>
  <c r="AC29" i="1" s="1"/>
  <c r="AA33" i="1"/>
  <c r="A116" i="2"/>
  <c r="C129" i="2"/>
  <c r="C133" i="2" s="1"/>
  <c r="AA19" i="1" s="1"/>
  <c r="D125" i="2"/>
  <c r="D133" i="2" s="1"/>
  <c r="AA20" i="1" s="1"/>
  <c r="B121" i="2"/>
  <c r="B133" i="2" s="1"/>
  <c r="AA18" i="1" s="1"/>
  <c r="F119" i="2"/>
  <c r="F133" i="2" s="1"/>
  <c r="AA27" i="1" s="1"/>
  <c r="E119" i="2"/>
  <c r="E133" i="2" s="1"/>
  <c r="AA25" i="1" s="1"/>
  <c r="AE29" i="1" l="1"/>
  <c r="AA35" i="1"/>
  <c r="AA22" i="1"/>
  <c r="A125" i="2"/>
  <c r="A123" i="2" s="1"/>
  <c r="Y33" i="1"/>
  <c r="A90" i="2"/>
  <c r="AA29" i="1" l="1"/>
  <c r="Y35" i="1"/>
  <c r="C103" i="2"/>
  <c r="C107" i="2" s="1"/>
  <c r="Y19" i="1" s="1"/>
  <c r="D99" i="2"/>
  <c r="B95" i="2"/>
  <c r="B107" i="2" s="1"/>
  <c r="Y18" i="1" s="1"/>
  <c r="F93" i="2"/>
  <c r="F107" i="2" s="1"/>
  <c r="Y27" i="1" s="1"/>
  <c r="E93" i="2"/>
  <c r="E107" i="2" s="1"/>
  <c r="Y25" i="1" s="1"/>
  <c r="D75" i="2"/>
  <c r="D76" i="2" s="1"/>
  <c r="D84" i="2" s="1"/>
  <c r="W20" i="1" s="1"/>
  <c r="A67" i="2"/>
  <c r="B72" i="2"/>
  <c r="F70" i="2"/>
  <c r="F84" i="2" s="1"/>
  <c r="W27" i="1" s="1"/>
  <c r="E70" i="2"/>
  <c r="E84" i="2" s="1"/>
  <c r="W25" i="1" s="1"/>
  <c r="W33" i="1"/>
  <c r="W35" i="1" s="1"/>
  <c r="B48" i="2"/>
  <c r="B59" i="2" s="1"/>
  <c r="U18" i="1" s="1"/>
  <c r="E47" i="2"/>
  <c r="E59" i="2" s="1"/>
  <c r="U25" i="1" s="1"/>
  <c r="F47" i="2"/>
  <c r="F59" i="2" s="1"/>
  <c r="U27" i="1" s="1"/>
  <c r="C55" i="2"/>
  <c r="C59" i="2" s="1"/>
  <c r="U19" i="1" s="1"/>
  <c r="A44" i="2"/>
  <c r="D50" i="2"/>
  <c r="D52" i="2" s="1"/>
  <c r="D59" i="2" s="1"/>
  <c r="U20" i="1" s="1"/>
  <c r="U33" i="1"/>
  <c r="U35" i="1" s="1"/>
  <c r="L22" i="2"/>
  <c r="L23" i="2"/>
  <c r="L24" i="2"/>
  <c r="J25" i="2"/>
  <c r="K25" i="2"/>
  <c r="B25" i="2"/>
  <c r="B29" i="2" s="1"/>
  <c r="S18" i="1" s="1"/>
  <c r="E25" i="2"/>
  <c r="E27" i="2" s="1"/>
  <c r="S25" i="1" s="1"/>
  <c r="C35" i="2"/>
  <c r="C37" i="2" s="1"/>
  <c r="S19" i="1" s="1"/>
  <c r="F24" i="2"/>
  <c r="D29" i="2"/>
  <c r="D31" i="2" s="1"/>
  <c r="S20" i="1" s="1"/>
  <c r="S33" i="1"/>
  <c r="Q18" i="1"/>
  <c r="Q19" i="1"/>
  <c r="Q20" i="1"/>
  <c r="Q25" i="1"/>
  <c r="Q27" i="1"/>
  <c r="G27" i="1"/>
  <c r="G18" i="1"/>
  <c r="G19" i="1"/>
  <c r="G20" i="1"/>
  <c r="Q33" i="1"/>
  <c r="Q35" i="1" s="1"/>
  <c r="G33" i="1"/>
  <c r="G34" i="1"/>
  <c r="F5" i="2"/>
  <c r="E5" i="2"/>
  <c r="D11" i="2"/>
  <c r="C14" i="2"/>
  <c r="B5" i="2"/>
  <c r="O27" i="1"/>
  <c r="O25" i="1"/>
  <c r="O20" i="1"/>
  <c r="O19" i="1"/>
  <c r="O18" i="1"/>
  <c r="O33" i="1"/>
  <c r="O35" i="1" s="1"/>
  <c r="M35" i="1"/>
  <c r="M27" i="1"/>
  <c r="M25" i="1"/>
  <c r="M18" i="1"/>
  <c r="M19" i="1"/>
  <c r="M20" i="1"/>
  <c r="K33" i="1"/>
  <c r="K35" i="1" s="1"/>
  <c r="C33" i="1"/>
  <c r="C34" i="1"/>
  <c r="K27" i="1"/>
  <c r="K25" i="1"/>
  <c r="K18" i="1"/>
  <c r="K19" i="1"/>
  <c r="K20" i="1"/>
  <c r="C27" i="1"/>
  <c r="C19" i="1"/>
  <c r="C20" i="1"/>
  <c r="C22" i="1" s="1"/>
  <c r="I19" i="1"/>
  <c r="I18" i="1"/>
  <c r="I27" i="1"/>
  <c r="I25" i="1"/>
  <c r="I20" i="1"/>
  <c r="E34" i="1"/>
  <c r="I34" i="1"/>
  <c r="I33" i="1"/>
  <c r="I35" i="1" s="1"/>
  <c r="E33" i="1"/>
  <c r="E20" i="1"/>
  <c r="E27" i="1"/>
  <c r="E25" i="1"/>
  <c r="E19" i="1"/>
  <c r="E18" i="1"/>
  <c r="E12" i="1"/>
  <c r="I12" i="1"/>
  <c r="E13" i="1"/>
  <c r="I13" i="1"/>
  <c r="I14" i="1"/>
  <c r="E14" i="1"/>
  <c r="L25" i="2" l="1"/>
  <c r="S35" i="1"/>
  <c r="M22" i="1"/>
  <c r="M29" i="1" s="1"/>
  <c r="D107" i="2"/>
  <c r="Y20" i="1" s="1"/>
  <c r="A99" i="2"/>
  <c r="A97" i="2" s="1"/>
  <c r="I22" i="1"/>
  <c r="I29" i="1" s="1"/>
  <c r="E35" i="1"/>
  <c r="G35" i="1"/>
  <c r="C29" i="1"/>
  <c r="G22" i="1"/>
  <c r="G29" i="1" s="1"/>
  <c r="A51" i="2"/>
  <c r="B84" i="2"/>
  <c r="W18" i="1" s="1"/>
  <c r="U22" i="1"/>
  <c r="K22" i="1"/>
  <c r="K29" i="1" s="1"/>
  <c r="C39" i="2"/>
  <c r="F26" i="2"/>
  <c r="S27" i="1" s="1"/>
  <c r="O22" i="1"/>
  <c r="O29" i="1" s="1"/>
  <c r="E22" i="1"/>
  <c r="E29" i="1" s="1"/>
  <c r="C35" i="1"/>
  <c r="Q22" i="1"/>
  <c r="Q29" i="1" s="1"/>
  <c r="S22" i="1"/>
  <c r="Y22" i="1" l="1"/>
  <c r="U29" i="1"/>
  <c r="S29" i="1"/>
  <c r="C80" i="2"/>
  <c r="C84" i="2" s="1"/>
  <c r="W19" i="1" s="1"/>
  <c r="Y29" i="1" l="1"/>
  <c r="W22" i="1"/>
  <c r="W29" i="1" s="1"/>
  <c r="A76" i="2"/>
  <c r="A74" i="2" s="1"/>
</calcChain>
</file>

<file path=xl/sharedStrings.xml><?xml version="1.0" encoding="utf-8"?>
<sst xmlns="http://schemas.openxmlformats.org/spreadsheetml/2006/main" count="172" uniqueCount="90">
  <si>
    <t>%</t>
  </si>
  <si>
    <t>-</t>
  </si>
  <si>
    <t>Grants and Scholarships</t>
  </si>
  <si>
    <t xml:space="preserve">     Federal Funds</t>
  </si>
  <si>
    <t xml:space="preserve">     State Funds</t>
  </si>
  <si>
    <t xml:space="preserve">     Campus Funds</t>
  </si>
  <si>
    <t xml:space="preserve">          Subtotal</t>
  </si>
  <si>
    <t>Loan Programs</t>
  </si>
  <si>
    <t>Student Employment</t>
  </si>
  <si>
    <t>Total All Aid</t>
  </si>
  <si>
    <t>FY2001</t>
  </si>
  <si>
    <t>FY2002</t>
  </si>
  <si>
    <t>FY2003</t>
  </si>
  <si>
    <t>Change</t>
  </si>
  <si>
    <t>Financial Aid Program</t>
  </si>
  <si>
    <t xml:space="preserve">     Total Full-Time Tuition and Fees</t>
  </si>
  <si>
    <t xml:space="preserve">FY2004 </t>
  </si>
  <si>
    <t>FY2005</t>
  </si>
  <si>
    <t>(1)</t>
  </si>
  <si>
    <t>Major Financial Aid Programs Versus Tuition &amp; Fee Increases - Undergraduate Level</t>
  </si>
  <si>
    <t>Undergraduate Tuition Rate-30 hr.</t>
  </si>
  <si>
    <t>(2)</t>
  </si>
  <si>
    <t>(3)</t>
  </si>
  <si>
    <r>
      <t xml:space="preserve">FY2007 </t>
    </r>
    <r>
      <rPr>
        <vertAlign val="superscript"/>
        <sz val="10"/>
        <rFont val="Arial"/>
        <family val="2"/>
      </rPr>
      <t>a</t>
    </r>
  </si>
  <si>
    <r>
      <t>a</t>
    </r>
    <r>
      <rPr>
        <sz val="9"/>
        <rFont val="Arial"/>
        <family val="2"/>
      </rPr>
      <t xml:space="preserve"> Employer-reinbursed tuition figures are not included.  </t>
    </r>
  </si>
  <si>
    <r>
      <t xml:space="preserve">FY2008 </t>
    </r>
    <r>
      <rPr>
        <vertAlign val="superscript"/>
        <sz val="10"/>
        <rFont val="Arial"/>
        <family val="2"/>
      </rPr>
      <t>a</t>
    </r>
  </si>
  <si>
    <t>Federal</t>
  </si>
  <si>
    <t>Loan</t>
  </si>
  <si>
    <t>State</t>
  </si>
  <si>
    <t>Campus</t>
  </si>
  <si>
    <t>Stu Emp</t>
  </si>
  <si>
    <t>(4)</t>
  </si>
  <si>
    <t>(5)</t>
  </si>
  <si>
    <r>
      <t>FY2009</t>
    </r>
    <r>
      <rPr>
        <vertAlign val="superscript"/>
        <sz val="10"/>
        <rFont val="Arial"/>
        <family val="2"/>
      </rPr>
      <t xml:space="preserve"> a</t>
    </r>
  </si>
  <si>
    <t>FY09</t>
  </si>
  <si>
    <t>FY08</t>
  </si>
  <si>
    <t>Total:</t>
  </si>
  <si>
    <t>Total FW Study</t>
  </si>
  <si>
    <t>Coop Work Study Program</t>
  </si>
  <si>
    <t>Total Other Student Employment</t>
  </si>
  <si>
    <t>Institution</t>
  </si>
  <si>
    <t>FY2008</t>
  </si>
  <si>
    <t>FY2009</t>
  </si>
  <si>
    <t>% change</t>
  </si>
  <si>
    <t>(6)</t>
  </si>
  <si>
    <r>
      <t xml:space="preserve">FY2010 </t>
    </r>
    <r>
      <rPr>
        <vertAlign val="superscript"/>
        <sz val="10"/>
        <rFont val="Arial"/>
        <family val="2"/>
      </rPr>
      <t>a</t>
    </r>
  </si>
  <si>
    <t>FY10</t>
  </si>
  <si>
    <t>check</t>
  </si>
  <si>
    <r>
      <t xml:space="preserve">FY2011 </t>
    </r>
    <r>
      <rPr>
        <vertAlign val="superscript"/>
        <sz val="10"/>
        <rFont val="Arial"/>
        <family val="2"/>
      </rPr>
      <t>a</t>
    </r>
  </si>
  <si>
    <t>red = corrected per 11/19/10 email from Jerry</t>
  </si>
  <si>
    <t>FY11</t>
  </si>
  <si>
    <t>check:</t>
  </si>
  <si>
    <r>
      <t xml:space="preserve">FY2006 </t>
    </r>
    <r>
      <rPr>
        <vertAlign val="superscript"/>
        <sz val="10"/>
        <rFont val="Arial"/>
        <family val="2"/>
      </rPr>
      <t>a</t>
    </r>
  </si>
  <si>
    <t>FY12</t>
  </si>
  <si>
    <r>
      <t xml:space="preserve">FY2012 </t>
    </r>
    <r>
      <rPr>
        <vertAlign val="superscript"/>
        <sz val="10"/>
        <rFont val="Arial"/>
        <family val="2"/>
      </rPr>
      <t>a</t>
    </r>
  </si>
  <si>
    <t>University of Illinois Springfield</t>
  </si>
  <si>
    <r>
      <t xml:space="preserve">FY2013 </t>
    </r>
    <r>
      <rPr>
        <vertAlign val="superscript"/>
        <sz val="10"/>
        <rFont val="Arial"/>
        <family val="2"/>
      </rPr>
      <t>a</t>
    </r>
  </si>
  <si>
    <r>
      <t xml:space="preserve">FY2014 </t>
    </r>
    <r>
      <rPr>
        <vertAlign val="superscript"/>
        <sz val="10"/>
        <rFont val="Arial"/>
        <family val="2"/>
      </rPr>
      <t>a</t>
    </r>
  </si>
  <si>
    <t>FY14</t>
  </si>
  <si>
    <r>
      <t xml:space="preserve">FY2015 </t>
    </r>
    <r>
      <rPr>
        <vertAlign val="superscript"/>
        <sz val="10"/>
        <rFont val="Arial"/>
        <family val="2"/>
      </rPr>
      <t>a</t>
    </r>
  </si>
  <si>
    <r>
      <t xml:space="preserve">FY2016 </t>
    </r>
    <r>
      <rPr>
        <vertAlign val="superscript"/>
        <sz val="10"/>
        <rFont val="Arial"/>
        <family val="2"/>
      </rPr>
      <t>a</t>
    </r>
  </si>
  <si>
    <t>FY15</t>
  </si>
  <si>
    <t xml:space="preserve"> Loan</t>
  </si>
  <si>
    <t>FY16</t>
  </si>
  <si>
    <t>FY17</t>
  </si>
  <si>
    <r>
      <t xml:space="preserve">FY2017 </t>
    </r>
    <r>
      <rPr>
        <vertAlign val="superscript"/>
        <sz val="10"/>
        <rFont val="Arial"/>
        <family val="2"/>
      </rPr>
      <t>a</t>
    </r>
  </si>
  <si>
    <r>
      <t>Mandatory Full-Time Fees</t>
    </r>
    <r>
      <rPr>
        <vertAlign val="superscript"/>
        <sz val="9"/>
        <rFont val="Arial"/>
        <family val="2"/>
      </rPr>
      <t>(8)</t>
    </r>
  </si>
  <si>
    <t>(7)</t>
  </si>
  <si>
    <t>FY18</t>
  </si>
  <si>
    <r>
      <t xml:space="preserve">FY2018 </t>
    </r>
    <r>
      <rPr>
        <vertAlign val="superscript"/>
        <sz val="10"/>
        <rFont val="Arial"/>
        <family val="2"/>
      </rPr>
      <t>a</t>
    </r>
  </si>
  <si>
    <r>
      <t xml:space="preserve">FY2019 </t>
    </r>
    <r>
      <rPr>
        <vertAlign val="superscript"/>
        <sz val="10"/>
        <rFont val="Arial"/>
        <family val="2"/>
      </rPr>
      <t>a</t>
    </r>
  </si>
  <si>
    <t>FY19</t>
  </si>
  <si>
    <r>
      <rPr>
        <vertAlign val="superscript"/>
        <sz val="9"/>
        <rFont val="Arial"/>
        <family val="2"/>
      </rPr>
      <t>(8)</t>
    </r>
    <r>
      <rPr>
        <sz val="9"/>
        <rFont val="Arial"/>
        <family val="2"/>
      </rPr>
      <t xml:space="preserve">Historically, this reflected Service, General and Health Fee AY charges.  In FY19, the Student Union fee also was added as a Mandatory Full-Time fee.    </t>
    </r>
  </si>
  <si>
    <r>
      <t xml:space="preserve">FY2020 </t>
    </r>
    <r>
      <rPr>
        <vertAlign val="superscript"/>
        <sz val="10"/>
        <rFont val="Arial"/>
        <family val="2"/>
      </rPr>
      <t>a</t>
    </r>
  </si>
  <si>
    <r>
      <t xml:space="preserve">FY2021 </t>
    </r>
    <r>
      <rPr>
        <vertAlign val="superscript"/>
        <sz val="10"/>
        <rFont val="Arial"/>
        <family val="2"/>
      </rPr>
      <t>a</t>
    </r>
  </si>
  <si>
    <t>FY20</t>
  </si>
  <si>
    <t>FY21</t>
  </si>
  <si>
    <t>Blue indicates categories were added in those years</t>
  </si>
  <si>
    <r>
      <t xml:space="preserve">FY2022 </t>
    </r>
    <r>
      <rPr>
        <vertAlign val="superscript"/>
        <sz val="10"/>
        <rFont val="Arial"/>
        <family val="2"/>
      </rPr>
      <t>a</t>
    </r>
  </si>
  <si>
    <t>FY16-FY22</t>
  </si>
  <si>
    <r>
      <rPr>
        <vertAlign val="superscript"/>
        <sz val="9"/>
        <rFont val="Arial"/>
        <family val="2"/>
      </rPr>
      <t>(b)</t>
    </r>
    <r>
      <rPr>
        <sz val="9"/>
        <rFont val="Arial"/>
        <family val="2"/>
      </rPr>
      <t>CARES Act replaced Carl Perkins loans beginnning in FY2020.</t>
    </r>
  </si>
  <si>
    <t>(b)</t>
  </si>
  <si>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>Reflects the FY16 Undergraduate Guaranteed Rate of $313.50 per credit hour.</t>
    </r>
  </si>
  <si>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>Reflects the FY17 Undergraduate Guaranteed Rate of $313.50 per credit hour.</t>
    </r>
  </si>
  <si>
    <r>
      <rPr>
        <vertAlign val="superscript"/>
        <sz val="9"/>
        <rFont val="Arial"/>
        <family val="2"/>
      </rPr>
      <t>(3)</t>
    </r>
    <r>
      <rPr>
        <sz val="9"/>
        <rFont val="Arial"/>
        <family val="2"/>
      </rPr>
      <t>Reflects the FY18 Undergraduate Guaranteed Rate of $313.50 per credit hour.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</si>
  <si>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>Reflects the FY19 Undergraduate Guaranteed Rate of $313.50 per credit hour.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</si>
  <si>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>Reflects the FY20 Undergraduate Guaranteed Rate of $313.50 per credit hour.</t>
    </r>
  </si>
  <si>
    <r>
      <rPr>
        <vertAlign val="superscript"/>
        <sz val="9"/>
        <rFont val="Arial"/>
        <family val="2"/>
      </rPr>
      <t>(6)</t>
    </r>
    <r>
      <rPr>
        <sz val="9"/>
        <rFont val="Arial"/>
        <family val="2"/>
      </rPr>
      <t>Reflects the FY21 Undergraduate Guaranteed Rate of $316.75 per credit hour.</t>
    </r>
  </si>
  <si>
    <t>FY16 - FY22</t>
  </si>
  <si>
    <r>
      <rPr>
        <vertAlign val="superscript"/>
        <sz val="9"/>
        <rFont val="Arial"/>
        <family val="2"/>
      </rPr>
      <t>(7)</t>
    </r>
    <r>
      <rPr>
        <sz val="9"/>
        <rFont val="Arial"/>
        <family val="2"/>
      </rPr>
      <t>Reflects the FY22 Undergraduate Guaranteed Rate of $316.75 per credit hour.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</si>
</sst>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_);_(@_)"/>
    <numFmt numFmtId="166" formatCode="_(&quot;$&quot;* #,##0.0_);_(&quot;$&quot;* \(#,##0.0\);_(&quot;$&quot;* &quot;-&quot;?_);_(@_)"/>
    <numFmt numFmtId="167" formatCode="&quot;$&quot;#,##0"/>
    <numFmt numFmtId="168" formatCode="&quot;$&quot;#,##0.0"/>
    <numFmt numFmtId="169" formatCode="#,##0.0"/>
    <numFmt numFmtId="170" formatCode="&quot;$&quot;#,##0.00"/>
  </numFmts>
  <fonts count="20" x14ac:knownFonts="1">
    <font>
      <sz val="10"/>
      <name val="Arial"/>
    </font>
    <font>
      <sz val="10"/>
      <name val="Arial"/>
      <family val="2"/>
    </font>
    <font>
      <sz val="11"/>
      <color indexed="12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vertAlign val="superscript"/>
      <sz val="9"/>
      <color theme="0"/>
      <name val="Arial"/>
      <family val="2"/>
    </font>
    <font>
      <u/>
      <sz val="10"/>
      <name val="Arial"/>
      <family val="2"/>
    </font>
    <font>
      <sz val="10"/>
      <color rgb="FF7030A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1" fontId="0" fillId="0" borderId="0" xfId="0" applyNumberFormat="1" applyBorder="1" applyAlignment="1">
      <alignment horizontal="center"/>
    </xf>
    <xf numFmtId="0" fontId="0" fillId="0" borderId="0" xfId="0" applyAlignment="1"/>
    <xf numFmtId="165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0" borderId="0" xfId="0" applyNumberFormat="1" applyBorder="1"/>
    <xf numFmtId="165" fontId="0" fillId="0" borderId="0" xfId="0" applyNumberFormat="1" applyAlignment="1">
      <alignment horizontal="center"/>
    </xf>
    <xf numFmtId="0" fontId="0" fillId="0" borderId="0" xfId="0" applyBorder="1" applyAlignment="1"/>
    <xf numFmtId="166" fontId="0" fillId="0" borderId="0" xfId="0" applyNumberFormat="1" applyAlignment="1">
      <alignment horizontal="center"/>
    </xf>
    <xf numFmtId="166" fontId="0" fillId="0" borderId="2" xfId="0" applyNumberFormat="1" applyBorder="1" applyAlignment="1">
      <alignment horizontal="center"/>
    </xf>
    <xf numFmtId="44" fontId="0" fillId="0" borderId="0" xfId="0" applyNumberFormat="1"/>
    <xf numFmtId="10" fontId="0" fillId="0" borderId="0" xfId="0" applyNumberFormat="1" applyAlignment="1">
      <alignment horizontal="center"/>
    </xf>
    <xf numFmtId="43" fontId="0" fillId="0" borderId="1" xfId="0" applyNumberFormat="1" applyBorder="1"/>
    <xf numFmtId="43" fontId="0" fillId="0" borderId="0" xfId="0" applyNumberFormat="1"/>
    <xf numFmtId="166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0" fillId="0" borderId="0" xfId="0" quotePrefix="1" applyFill="1" applyAlignment="1"/>
    <xf numFmtId="165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43" fontId="0" fillId="0" borderId="0" xfId="0" applyNumberFormat="1" applyBorder="1"/>
    <xf numFmtId="166" fontId="0" fillId="0" borderId="0" xfId="0" applyNumberFormat="1" applyAlignment="1"/>
    <xf numFmtId="166" fontId="0" fillId="0" borderId="1" xfId="0" applyNumberFormat="1" applyBorder="1" applyAlignment="1"/>
    <xf numFmtId="166" fontId="0" fillId="0" borderId="2" xfId="0" applyNumberFormat="1" applyBorder="1" applyAlignment="1"/>
    <xf numFmtId="44" fontId="0" fillId="0" borderId="0" xfId="0" applyNumberFormat="1" applyAlignment="1"/>
    <xf numFmtId="43" fontId="0" fillId="0" borderId="1" xfId="0" applyNumberFormat="1" applyBorder="1" applyAlignment="1"/>
    <xf numFmtId="166" fontId="0" fillId="0" borderId="0" xfId="0" applyNumberFormat="1" applyBorder="1" applyAlignment="1"/>
    <xf numFmtId="43" fontId="0" fillId="0" borderId="0" xfId="0" applyNumberFormat="1" applyBorder="1" applyAlignme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8" fontId="7" fillId="0" borderId="0" xfId="0" applyNumberFormat="1" applyFont="1" applyBorder="1" applyAlignment="1">
      <alignment horizontal="center"/>
    </xf>
    <xf numFmtId="44" fontId="0" fillId="0" borderId="0" xfId="0" quotePrefix="1" applyNumberFormat="1" applyAlignment="1">
      <alignment horizontal="left"/>
    </xf>
    <xf numFmtId="0" fontId="6" fillId="0" borderId="0" xfId="0" quotePrefix="1" applyFont="1" applyAlignment="1">
      <alignment horizontal="left"/>
    </xf>
    <xf numFmtId="44" fontId="6" fillId="0" borderId="0" xfId="0" quotePrefix="1" applyNumberFormat="1" applyFont="1" applyAlignment="1">
      <alignment horizontal="left"/>
    </xf>
    <xf numFmtId="0" fontId="10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44" fontId="0" fillId="0" borderId="0" xfId="0" applyNumberFormat="1" applyAlignment="1">
      <alignment horizontal="center"/>
    </xf>
    <xf numFmtId="0" fontId="0" fillId="2" borderId="0" xfId="0" applyFill="1"/>
    <xf numFmtId="169" fontId="0" fillId="0" borderId="0" xfId="0" applyNumberFormat="1"/>
    <xf numFmtId="169" fontId="0" fillId="0" borderId="0" xfId="0" applyNumberFormat="1" applyAlignment="1">
      <alignment horizontal="center"/>
    </xf>
    <xf numFmtId="166" fontId="0" fillId="0" borderId="0" xfId="0" applyNumberFormat="1"/>
    <xf numFmtId="166" fontId="0" fillId="0" borderId="2" xfId="0" applyNumberFormat="1" applyBorder="1"/>
    <xf numFmtId="166" fontId="0" fillId="0" borderId="1" xfId="0" applyNumberFormat="1" applyBorder="1"/>
    <xf numFmtId="44" fontId="0" fillId="3" borderId="0" xfId="0" applyNumberFormat="1" applyFill="1" applyAlignment="1">
      <alignment horizontal="center"/>
    </xf>
    <xf numFmtId="44" fontId="0" fillId="3" borderId="0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/>
    </xf>
    <xf numFmtId="169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/>
    <xf numFmtId="167" fontId="0" fillId="0" borderId="1" xfId="0" applyNumberFormat="1" applyBorder="1"/>
    <xf numFmtId="10" fontId="0" fillId="0" borderId="0" xfId="0" applyNumberFormat="1"/>
    <xf numFmtId="10" fontId="0" fillId="0" borderId="1" xfId="0" applyNumberFormat="1" applyBorder="1"/>
    <xf numFmtId="170" fontId="0" fillId="0" borderId="0" xfId="0" applyNumberFormat="1" applyAlignment="1">
      <alignment horizontal="center"/>
    </xf>
    <xf numFmtId="170" fontId="0" fillId="0" borderId="1" xfId="0" applyNumberFormat="1" applyBorder="1" applyAlignment="1">
      <alignment horizontal="center"/>
    </xf>
    <xf numFmtId="170" fontId="0" fillId="0" borderId="0" xfId="0" applyNumberFormat="1"/>
    <xf numFmtId="170" fontId="10" fillId="0" borderId="0" xfId="0" applyNumberFormat="1" applyFont="1" applyAlignment="1">
      <alignment horizontal="center"/>
    </xf>
    <xf numFmtId="170" fontId="0" fillId="0" borderId="0" xfId="0" applyNumberFormat="1" applyBorder="1" applyAlignment="1">
      <alignment horizontal="center"/>
    </xf>
    <xf numFmtId="44" fontId="11" fillId="3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0" fontId="10" fillId="0" borderId="0" xfId="0" applyNumberFormat="1" applyFont="1"/>
    <xf numFmtId="0" fontId="12" fillId="0" borderId="1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41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right"/>
    </xf>
    <xf numFmtId="10" fontId="0" fillId="0" borderId="1" xfId="0" applyNumberFormat="1" applyFill="1" applyBorder="1" applyAlignment="1">
      <alignment horizontal="right"/>
    </xf>
    <xf numFmtId="10" fontId="0" fillId="0" borderId="2" xfId="0" applyNumberFormat="1" applyFill="1" applyBorder="1" applyAlignment="1">
      <alignment horizontal="right"/>
    </xf>
    <xf numFmtId="0" fontId="0" fillId="0" borderId="0" xfId="0" applyFill="1" applyAlignment="1">
      <alignment horizontal="right" indent="1"/>
    </xf>
    <xf numFmtId="164" fontId="0" fillId="0" borderId="0" xfId="0" applyNumberFormat="1" applyFill="1" applyAlignment="1">
      <alignment horizontal="right" indent="1"/>
    </xf>
    <xf numFmtId="10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166" fontId="0" fillId="0" borderId="0" xfId="0" applyNumberFormat="1" applyBorder="1"/>
    <xf numFmtId="170" fontId="0" fillId="0" borderId="0" xfId="0" applyNumberFormat="1" applyFill="1" applyAlignment="1">
      <alignment horizontal="center"/>
    </xf>
    <xf numFmtId="170" fontId="0" fillId="0" borderId="0" xfId="0" applyNumberFormat="1" applyFill="1" applyBorder="1" applyAlignment="1">
      <alignment horizontal="center"/>
    </xf>
    <xf numFmtId="170" fontId="0" fillId="0" borderId="1" xfId="0" applyNumberFormat="1" applyFill="1" applyBorder="1" applyAlignment="1">
      <alignment horizontal="center"/>
    </xf>
    <xf numFmtId="170" fontId="1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7" fontId="0" fillId="0" borderId="0" xfId="0" applyNumberFormat="1" applyFill="1" applyAlignment="1">
      <alignment horizontal="center"/>
    </xf>
    <xf numFmtId="0" fontId="5" fillId="0" borderId="0" xfId="0" quotePrefix="1" applyFont="1" applyAlignment="1">
      <alignment horizontal="left" vertical="top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166" fontId="0" fillId="0" borderId="1" xfId="0" applyNumberForma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44" fontId="0" fillId="0" borderId="0" xfId="0" applyNumberFormat="1" applyAlignment="1">
      <alignment horizontal="right"/>
    </xf>
    <xf numFmtId="43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49" fontId="13" fillId="0" borderId="0" xfId="0" quotePrefix="1" applyNumberFormat="1" applyFont="1" applyAlignment="1">
      <alignment horizontal="left" vertical="top"/>
    </xf>
    <xf numFmtId="166" fontId="5" fillId="0" borderId="0" xfId="0" quotePrefix="1" applyNumberFormat="1" applyFont="1" applyAlignment="1">
      <alignment horizontal="left"/>
    </xf>
    <xf numFmtId="0" fontId="5" fillId="0" borderId="0" xfId="0" applyFont="1" applyFill="1" applyAlignment="1"/>
    <xf numFmtId="0" fontId="0" fillId="0" borderId="0" xfId="0" applyFill="1"/>
    <xf numFmtId="165" fontId="0" fillId="0" borderId="0" xfId="0" applyNumberFormat="1" applyFill="1"/>
    <xf numFmtId="44" fontId="0" fillId="0" borderId="0" xfId="0" applyNumberFormat="1" applyFill="1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 applyFill="1" applyAlignment="1"/>
    <xf numFmtId="44" fontId="3" fillId="0" borderId="0" xfId="0" applyNumberFormat="1" applyFont="1" applyFill="1"/>
    <xf numFmtId="0" fontId="9" fillId="0" borderId="0" xfId="0" applyFont="1"/>
    <xf numFmtId="167" fontId="11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7" fontId="0" fillId="0" borderId="0" xfId="0" applyNumberFormat="1" applyAlignment="1">
      <alignment horizontal="right" indent="1"/>
    </xf>
    <xf numFmtId="167" fontId="0" fillId="0" borderId="1" xfId="0" applyNumberFormat="1" applyBorder="1" applyAlignment="1">
      <alignment horizontal="right" indent="1"/>
    </xf>
    <xf numFmtId="167" fontId="11" fillId="0" borderId="0" xfId="0" applyNumberFormat="1" applyFont="1" applyAlignment="1">
      <alignment horizontal="right" indent="1"/>
    </xf>
    <xf numFmtId="167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67" fontId="0" fillId="4" borderId="0" xfId="0" applyNumberFormat="1" applyFill="1"/>
    <xf numFmtId="0" fontId="0" fillId="4" borderId="0" xfId="0" applyFill="1"/>
    <xf numFmtId="167" fontId="0" fillId="5" borderId="0" xfId="0" applyNumberFormat="1" applyFill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167" fontId="11" fillId="5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Fill="1" applyBorder="1" applyAlignment="1">
      <alignment horizontal="center" vertical="center"/>
    </xf>
    <xf numFmtId="166" fontId="0" fillId="0" borderId="0" xfId="0" applyNumberFormat="1" applyFill="1"/>
    <xf numFmtId="41" fontId="0" fillId="0" borderId="3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7" fontId="0" fillId="0" borderId="0" xfId="0" applyNumberFormat="1" applyFill="1" applyAlignment="1">
      <alignment horizontal="center" vertical="center"/>
    </xf>
    <xf numFmtId="167" fontId="15" fillId="4" borderId="0" xfId="0" applyNumberFormat="1" applyFont="1" applyFill="1"/>
    <xf numFmtId="0" fontId="1" fillId="0" borderId="1" xfId="0" applyFont="1" applyBorder="1" applyAlignment="1">
      <alignment horizontal="center"/>
    </xf>
    <xf numFmtId="167" fontId="1" fillId="4" borderId="0" xfId="0" applyNumberFormat="1" applyFont="1" applyFill="1"/>
    <xf numFmtId="167" fontId="9" fillId="5" borderId="0" xfId="0" applyNumberFormat="1" applyFont="1" applyFill="1" applyAlignment="1">
      <alignment horizontal="center"/>
    </xf>
    <xf numFmtId="167" fontId="9" fillId="5" borderId="1" xfId="0" applyNumberFormat="1" applyFont="1" applyFill="1" applyBorder="1" applyAlignment="1">
      <alignment horizontal="center"/>
    </xf>
    <xf numFmtId="167" fontId="16" fillId="5" borderId="0" xfId="0" applyNumberFormat="1" applyFont="1" applyFill="1" applyAlignment="1">
      <alignment horizontal="center"/>
    </xf>
    <xf numFmtId="167" fontId="9" fillId="5" borderId="0" xfId="0" applyNumberFormat="1" applyFont="1" applyFill="1" applyBorder="1" applyAlignment="1">
      <alignment horizontal="center"/>
    </xf>
    <xf numFmtId="168" fontId="16" fillId="5" borderId="0" xfId="0" applyNumberFormat="1" applyFont="1" applyFill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0" borderId="0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7" fontId="1" fillId="5" borderId="0" xfId="0" applyNumberFormat="1" applyFont="1" applyFill="1" applyAlignment="1">
      <alignment horizontal="center"/>
    </xf>
    <xf numFmtId="167" fontId="1" fillId="5" borderId="1" xfId="0" applyNumberFormat="1" applyFont="1" applyFill="1" applyBorder="1" applyAlignment="1">
      <alignment horizontal="center"/>
    </xf>
    <xf numFmtId="167" fontId="1" fillId="5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7" fontId="11" fillId="5" borderId="3" xfId="0" applyNumberFormat="1" applyFont="1" applyFill="1" applyBorder="1" applyAlignment="1">
      <alignment horizontal="center"/>
    </xf>
    <xf numFmtId="167" fontId="17" fillId="5" borderId="0" xfId="0" applyNumberFormat="1" applyFont="1" applyFill="1" applyAlignment="1">
      <alignment horizontal="center"/>
    </xf>
    <xf numFmtId="167" fontId="18" fillId="5" borderId="1" xfId="0" applyNumberFormat="1" applyFont="1" applyFill="1" applyBorder="1" applyAlignment="1">
      <alignment horizontal="center"/>
    </xf>
    <xf numFmtId="167" fontId="19" fillId="5" borderId="0" xfId="0" applyNumberFormat="1" applyFont="1" applyFill="1" applyBorder="1" applyAlignment="1">
      <alignment horizontal="center"/>
    </xf>
    <xf numFmtId="0" fontId="19" fillId="0" borderId="0" xfId="0" applyFont="1"/>
    <xf numFmtId="49" fontId="5" fillId="0" borderId="0" xfId="0" applyNumberFormat="1" applyFont="1"/>
    <xf numFmtId="0" fontId="2" fillId="0" borderId="0" xfId="0" applyFont="1" applyAlignment="1">
      <alignment horizontal="center"/>
    </xf>
    <xf numFmtId="166" fontId="1" fillId="0" borderId="0" xfId="0" applyNumberFormat="1" applyFont="1" applyAlignment="1">
      <alignment horizontal="right" indent="1"/>
    </xf>
    <xf numFmtId="166" fontId="1" fillId="0" borderId="0" xfId="0" quotePrefix="1" applyNumberFormat="1" applyFont="1" applyAlignment="1">
      <alignment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4DB07B0-D765-4440-8931-BD640B438EE6}" diskRevisions="1" revisionId="88" version="8">
  <header guid="{B1654FED-2232-4C15-829B-9D56A36047E1}" dateTime="2023-04-18T10:23:02" maxSheetId="4" userName="Dorman, Laura Gransky" r:id="rId1">
    <sheetIdMap count="3">
      <sheetId val="1"/>
      <sheetId val="2"/>
      <sheetId val="3"/>
    </sheetIdMap>
  </header>
  <header guid="{242E962F-FB74-4147-A8C9-A89089A6C800}" dateTime="2023-04-18T12:45:55" maxSheetId="4" userName="Dorman, Laura Gransky" r:id="rId2" minRId="1">
    <sheetIdMap count="3">
      <sheetId val="1"/>
      <sheetId val="2"/>
      <sheetId val="3"/>
    </sheetIdMap>
  </header>
  <header guid="{FBDE1779-7650-4D67-8002-05C06F8C64F9}" dateTime="2023-04-18T12:53:27" maxSheetId="4" userName="Dorman, Laura Gransky" r:id="rId3" minRId="6" maxRId="56">
    <sheetIdMap count="3">
      <sheetId val="1"/>
      <sheetId val="2"/>
      <sheetId val="3"/>
    </sheetIdMap>
  </header>
  <header guid="{71AA1531-7A4A-4DA6-939A-51CCF3F3B451}" dateTime="2023-04-18T12:55:05" maxSheetId="4" userName="Dorman, Laura Gransky" r:id="rId4" minRId="61" maxRId="71">
    <sheetIdMap count="3">
      <sheetId val="1"/>
      <sheetId val="2"/>
      <sheetId val="3"/>
    </sheetIdMap>
  </header>
  <header guid="{39F64297-C91F-4556-85B0-D68E5832D70B}" dateTime="2023-04-18T12:58:50" maxSheetId="4" userName="Dorman, Laura Gransky" r:id="rId5" minRId="72">
    <sheetIdMap count="3">
      <sheetId val="1"/>
      <sheetId val="2"/>
      <sheetId val="3"/>
    </sheetIdMap>
  </header>
  <header guid="{E593336B-B598-4620-91BB-74605D8F122E}" dateTime="2023-04-18T13:38:23" maxSheetId="4" userName="Dorman, Laura Gransky" r:id="rId6" minRId="73">
    <sheetIdMap count="3">
      <sheetId val="1"/>
      <sheetId val="2"/>
      <sheetId val="3"/>
    </sheetIdMap>
  </header>
  <header guid="{E90EBED4-037F-45F1-ABC2-6F26F15B63BF}" dateTime="2023-04-18T13:41:38" maxSheetId="4" userName="Dorman, Laura Gransky" r:id="rId7" minRId="78" maxRId="84">
    <sheetIdMap count="3">
      <sheetId val="1"/>
      <sheetId val="2"/>
      <sheetId val="3"/>
    </sheetIdMap>
  </header>
  <header guid="{E4DB07B0-D765-4440-8931-BD640B438EE6}" dateTime="2023-05-03T10:08:07" maxSheetId="4" userName="Dorman, Laura Gransky" r:id="rId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Q1:AR1048576" action="insertCol">
    <undo index="2" exp="area" ref3D="1" dr="$A$41:$XFD$47" dn="Z_BA9A371C_F5E4_48D6_83C9_79939E56F42F_.wvu.Rows" sId="1"/>
    <undo index="1" exp="area" ref3D="1" dr="$A$10:$XFD$14" dn="Z_BA9A371C_F5E4_48D6_83C9_79939E56F42F_.wvu.Rows" sId="1"/>
  </rrc>
  <rcv guid="{BA9A371C-F5E4-48D6-83C9-79939E56F42F}" action="delete"/>
  <rdn rId="0" localSheetId="1" customView="1" name="Z_BA9A371C_F5E4_48D6_83C9_79939E56F42F_.wvu.PrintArea" hidden="1" oldHidden="1">
    <formula>Report!$A$1:$AU$55</formula>
    <oldFormula>Report!$A$1:$AU$55</oldFormula>
  </rdn>
  <rdn rId="0" localSheetId="1" customView="1" name="Z_BA9A371C_F5E4_48D6_83C9_79939E56F42F_.wvu.Rows" hidden="1" oldHidden="1">
    <formula>Report!$10:$14,Report!$41:$47</formula>
    <oldFormula>Report!$10:$14,Report!$41:$47</oldFormula>
  </rdn>
  <rdn rId="0" localSheetId="1" customView="1" name="Z_BA9A371C_F5E4_48D6_83C9_79939E56F42F_.wvu.Cols" hidden="1" oldHidden="1">
    <formula>Report!$B:$AE</formula>
    <oldFormula>Report!$B:$AC</oldFormula>
  </rdn>
  <rdn rId="0" localSheetId="2" customView="1" name="Z_BA9A371C_F5E4_48D6_83C9_79939E56F42F_.wvu.PrintArea" hidden="1" oldHidden="1">
    <formula>Data!$A$152:$K$206</formula>
    <oldFormula>Data!$A$152:$K$206</oldFormula>
  </rdn>
  <rcv guid="{BA9A371C-F5E4-48D6-83C9-79939E56F42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 numFmtId="30">
    <nc r="AQ18">
      <v>5813.2629999999999</v>
    </nc>
  </rcc>
  <rcc rId="7" sId="1" numFmtId="34">
    <nc r="AQ19">
      <v>6040.4930000000004</v>
    </nc>
  </rcc>
  <rcc rId="8" sId="1" numFmtId="34">
    <nc r="AQ20">
      <v>9528.1740000000009</v>
    </nc>
  </rcc>
  <rcc rId="9" sId="1" numFmtId="34">
    <nc r="AQ22">
      <v>21381.93</v>
    </nc>
  </rcc>
  <rcc rId="10" sId="1" numFmtId="34">
    <nc r="AQ25">
      <v>10431.249</v>
    </nc>
  </rcc>
  <rcc rId="11" sId="1" numFmtId="34">
    <nc r="AQ27">
      <v>1290.6669999999999</v>
    </nc>
  </rcc>
  <rcc rId="12" sId="1" numFmtId="34">
    <nc r="AQ29">
      <v>33103.845999999998</v>
    </nc>
  </rcc>
  <rcc rId="13" sId="1">
    <nc r="AQ33">
      <v>9502.5</v>
    </nc>
  </rcc>
  <rcc rId="14" sId="1" numFmtId="34">
    <nc r="AQ34">
      <v>1856</v>
    </nc>
  </rcc>
  <rcc rId="15" sId="1" numFmtId="34">
    <nc r="AQ35">
      <v>11358.5</v>
    </nc>
  </rcc>
  <rcc rId="16" sId="1">
    <oc r="AS9" t="inlineStr">
      <is>
        <r>
          <t xml:space="preserve">FY2021 </t>
        </r>
        <r>
          <rPr>
            <vertAlign val="superscript"/>
            <sz val="10"/>
            <rFont val="Arial"/>
            <family val="2"/>
          </rPr>
          <t>a</t>
        </r>
      </is>
    </oc>
    <nc r="AS9" t="inlineStr">
      <is>
        <r>
          <t xml:space="preserve">FY2022 </t>
        </r>
        <r>
          <rPr>
            <vertAlign val="superscript"/>
            <sz val="10"/>
            <rFont val="Arial"/>
            <family val="2"/>
          </rPr>
          <t>a</t>
        </r>
      </is>
    </nc>
  </rcc>
  <rfmt sheetId="1" sqref="AQ9" start="0" length="0">
    <dxf>
      <border>
        <left/>
        <right/>
        <top/>
        <bottom style="thin">
          <color indexed="64"/>
        </bottom>
      </border>
    </dxf>
  </rfmt>
  <rcc rId="17" sId="1">
    <oc r="AU9" t="inlineStr">
      <is>
        <t>FY15-FY21</t>
      </is>
    </oc>
    <nc r="AU9" t="inlineStr">
      <is>
        <t>FY16-FY22</t>
      </is>
    </nc>
  </rcc>
  <rfmt sheetId="1" sqref="AQ18" start="0" length="2147483647">
    <dxf>
      <font>
        <sz val="10"/>
      </font>
    </dxf>
  </rfmt>
  <rfmt sheetId="1" sqref="AQ18" start="0" length="2147483647">
    <dxf>
      <font>
        <vertAlign val="baseline"/>
      </font>
    </dxf>
  </rfmt>
  <rfmt sheetId="1" sqref="AQ18">
    <dxf>
      <numFmt numFmtId="171" formatCode="0.0"/>
      <alignment horizontal="right" readingOrder="0"/>
    </dxf>
  </rfmt>
  <rfmt sheetId="1" sqref="AQ18">
    <dxf>
      <alignment indent="1" readingOrder="0"/>
    </dxf>
  </rfmt>
  <rfmt sheetId="1" sqref="AQ18">
    <dxf>
      <numFmt numFmtId="166" formatCode="_(&quot;$&quot;* #,##0.0_);_(&quot;$&quot;* \(#,##0.0\);_(&quot;$&quot;* &quot;-&quot;?_);_(@_)"/>
    </dxf>
  </rfmt>
  <rfmt sheetId="1" sqref="AQ20" start="0" length="0">
    <dxf>
      <border>
        <left/>
        <right/>
        <top/>
        <bottom style="thin">
          <color indexed="64"/>
        </bottom>
      </border>
    </dxf>
  </rfmt>
  <rfmt sheetId="1" sqref="AQ29" start="0" length="0">
    <dxf>
      <border>
        <left/>
        <right/>
        <top/>
        <bottom style="double">
          <color auto="1"/>
        </bottom>
      </border>
    </dxf>
  </rfmt>
  <rcc rId="18" sId="1">
    <oc r="AS18">
      <f>Data!B249</f>
    </oc>
    <nc r="AS18"/>
  </rcc>
  <rcc rId="19" sId="1">
    <oc r="AS19">
      <f>Data!C251</f>
    </oc>
    <nc r="AS19"/>
  </rcc>
  <rcc rId="20" sId="1">
    <oc r="AS20">
      <f>Data!D249</f>
    </oc>
    <nc r="AS20"/>
  </rcc>
  <rcc rId="21" sId="1">
    <oc r="AS25">
      <f>Data!E249</f>
    </oc>
    <nc r="AS25"/>
  </rcc>
  <rcc rId="22" sId="1">
    <oc r="AS27">
      <f>Data!F249</f>
    </oc>
    <nc r="AS27"/>
  </rcc>
  <rcc rId="23" sId="1" numFmtId="34">
    <oc r="AS33">
      <v>9502.5</v>
    </oc>
    <nc r="AS33"/>
  </rcc>
  <rcc rId="24" sId="1" numFmtId="34">
    <oc r="AS34">
      <v>1856</v>
    </oc>
    <nc r="AS34"/>
  </rcc>
  <rm rId="25" sheetId="1" source="AT33" destination="AR33" sourceSheetId="1">
    <rfmt sheetId="1" sqref="AR33" start="0" length="0">
      <dxf>
        <font>
          <vertAlign val="superscript"/>
          <sz val="9"/>
          <color auto="1"/>
          <name val="Arial"/>
          <scheme val="none"/>
        </font>
        <alignment horizontal="left" vertical="top" readingOrder="0"/>
      </dxf>
    </rfmt>
  </rm>
  <rm rId="26" sheetId="1" source="AT18" destination="AR18" sourceSheetId="1">
    <rfmt sheetId="1" sqref="AR18" start="0" length="0">
      <dxf>
        <font>
          <vertAlign val="superscript"/>
          <sz val="9"/>
          <color auto="1"/>
          <name val="Arial"/>
          <scheme val="none"/>
        </font>
        <numFmt numFmtId="30" formatCode="@"/>
      </dxf>
    </rfmt>
  </rm>
  <rrc rId="27" sId="1" ref="A55:XFD55" action="insertRow">
    <undo index="0" exp="area" ref3D="1" dr="$B$1:$AE$1048576" dn="Z_BA9A371C_F5E4_48D6_83C9_79939E56F42F_.wvu.Cols" sId="1"/>
  </rrc>
  <rcc rId="28" sId="1" quotePrefix="1">
    <oc r="AH33" t="inlineStr">
      <is>
        <t>(2)</t>
      </is>
    </oc>
    <nc r="AH33" t="inlineStr">
      <is>
        <t>(1)</t>
      </is>
    </nc>
  </rcc>
  <rcc rId="29" sId="1" quotePrefix="1">
    <oc r="AJ33" t="inlineStr">
      <is>
        <t>(3)</t>
      </is>
    </oc>
    <nc r="AJ33" t="inlineStr">
      <is>
        <t>(2)</t>
      </is>
    </nc>
  </rcc>
  <rcc rId="30" sId="1" quotePrefix="1">
    <oc r="AL33" t="inlineStr">
      <is>
        <t>(4)</t>
      </is>
    </oc>
    <nc r="AL33" t="inlineStr">
      <is>
        <t>(3)</t>
      </is>
    </nc>
  </rcc>
  <rcc rId="31" sId="1" quotePrefix="1">
    <oc r="AN33" t="inlineStr">
      <is>
        <t>(5)</t>
      </is>
    </oc>
    <nc r="AN33" t="inlineStr">
      <is>
        <t>(4)</t>
      </is>
    </nc>
  </rcc>
  <rcc rId="32" sId="1" quotePrefix="1">
    <oc r="AP33" t="inlineStr">
      <is>
        <t>(6)</t>
      </is>
    </oc>
    <nc r="AP33" t="inlineStr">
      <is>
        <t>(5)</t>
      </is>
    </nc>
  </rcc>
  <rcc rId="33" sId="1" quotePrefix="1">
    <oc r="AR33" t="inlineStr">
      <is>
        <t>(7)</t>
      </is>
    </oc>
    <nc r="AR33" t="inlineStr">
      <is>
        <t>(6)</t>
      </is>
    </nc>
  </rcc>
  <rfmt sheetId="1" sqref="AT33" start="0" length="0">
    <dxf>
      <font>
        <vertAlign val="superscript"/>
        <sz val="9"/>
        <color auto="1"/>
        <name val="Arial"/>
        <scheme val="none"/>
      </font>
      <alignment horizontal="left" vertical="top" readingOrder="0"/>
    </dxf>
  </rfmt>
  <rcc rId="34" sId="1" quotePrefix="1">
    <nc r="AT33" t="inlineStr">
      <is>
        <t>(7)</t>
      </is>
    </nc>
  </rcc>
  <rcc rId="35" sId="1">
    <nc r="AQ9" t="inlineStr">
      <is>
        <r>
          <t xml:space="preserve">FY2021 </t>
        </r>
        <r>
          <rPr>
            <vertAlign val="superscript"/>
            <sz val="10"/>
            <rFont val="Arial"/>
            <family val="2"/>
          </rPr>
          <t>a</t>
        </r>
      </is>
    </nc>
  </rcc>
  <rrc rId="36" sId="1" ref="A49:XFD49" action="insertRow">
    <undo index="0" exp="area" ref3D="1" dr="$B$1:$AE$1048576" dn="Z_BA9A371C_F5E4_48D6_83C9_79939E56F42F_.wvu.Cols" sId="1"/>
  </rrc>
  <rcc rId="37" sId="1">
    <oc r="A58" t="inlineStr">
      <is>
        <r>
          <rPr>
            <vertAlign val="superscript"/>
            <sz val="9"/>
            <rFont val="Arial"/>
            <family val="2"/>
          </rPr>
          <t>(9)</t>
        </r>
        <r>
          <rPr>
            <sz val="9"/>
            <rFont val="Arial"/>
            <family val="2"/>
          </rPr>
          <t>CARES Act replaced Carl Perkins loans beginnning in FY2020.</t>
        </r>
      </is>
    </oc>
    <nc r="A58" t="inlineStr">
      <is>
        <r>
          <rPr>
            <vertAlign val="superscript"/>
            <sz val="9"/>
            <rFont val="Arial"/>
            <family val="2"/>
          </rPr>
          <t>(b)</t>
        </r>
        <r>
          <rPr>
            <sz val="9"/>
            <rFont val="Arial"/>
            <family val="2"/>
          </rPr>
          <t>CARES Act replaced Carl Perkins loans beginnning in FY2020.</t>
        </r>
      </is>
    </nc>
  </rcc>
  <rcc rId="38" sId="1">
    <oc r="AP18" t="inlineStr">
      <is>
        <t>(9)</t>
      </is>
    </oc>
    <nc r="AP18" t="inlineStr">
      <is>
        <t>(b)</t>
      </is>
    </nc>
  </rcc>
  <rcc rId="39" sId="1">
    <oc r="AR18" t="inlineStr">
      <is>
        <t>(9)</t>
      </is>
    </oc>
    <nc r="AR18" t="inlineStr">
      <is>
        <t>(b)</t>
      </is>
    </nc>
  </rcc>
  <rcc rId="40" sId="1" odxf="1" dxf="1">
    <nc r="AT18" t="inlineStr">
      <is>
        <t>(b)</t>
      </is>
    </nc>
    <odxf>
      <font>
        <vertAlign val="baseline"/>
        <sz val="10"/>
        <color auto="1"/>
        <name val="Arial"/>
        <scheme val="none"/>
      </font>
      <numFmt numFmtId="0" formatCode="General"/>
    </odxf>
    <ndxf>
      <font>
        <vertAlign val="superscript"/>
        <sz val="9"/>
        <color auto="1"/>
        <name val="Arial"/>
        <scheme val="none"/>
      </font>
      <numFmt numFmtId="30" formatCode="@"/>
    </ndxf>
  </rcc>
  <rm rId="41" sheetId="1" source="A58" destination="A49" sourceSheetId="1">
    <rfmt sheetId="1" sqref="A49" start="0" length="0">
      <dxf>
        <font>
          <sz val="9"/>
          <color auto="1"/>
          <name val="Arial"/>
          <scheme val="none"/>
        </font>
      </dxf>
    </rfmt>
  </rm>
  <rrc rId="42" sId="1" ref="A41:XFD41" action="deleteRow">
    <undo index="0" exp="area" ref3D="1" dr="$B$1:$AE$1048576" dn="Z_BA9A371C_F5E4_48D6_83C9_79939E56F42F_.wvu.Cols" sId="1"/>
    <undo index="2" exp="area" ref3D="1" dr="$A$41:$XFD$47" dn="Z_BA9A371C_F5E4_48D6_83C9_79939E56F42F_.wvu.Rows" sId="1"/>
    <rfmt sheetId="1" xfDxf="1" sqref="A41:XFD41" start="0" length="0">
      <dxf>
        <font>
          <sz val="9"/>
        </font>
      </dxf>
    </rfmt>
    <rcc rId="0" sId="1">
      <nc r="A41" t="inlineStr">
        <is>
          <t xml:space="preserve">(1) Reflects the FY05 Undergraduate Guaranteed Rate of $133.50 per credit hour. </t>
        </is>
      </nc>
    </rcc>
    <rfmt sheetId="1" sqref="C41" start="0" length="0">
      <dxf>
        <numFmt numFmtId="165" formatCode="_(* #,##0.0_);_(* \(#,##0.0\);_(* &quot;-&quot;?_);_(@_)"/>
      </dxf>
    </rfmt>
  </rrc>
  <rrc rId="43" sId="1" ref="A41:XFD41" action="deleteRow">
    <undo index="0" exp="area" ref3D="1" dr="$B$1:$AE$1048576" dn="Z_BA9A371C_F5E4_48D6_83C9_79939E56F42F_.wvu.Cols" sId="1"/>
    <undo index="2" exp="area" ref3D="1" dr="$A$41:$XFD$46" dn="Z_BA9A371C_F5E4_48D6_83C9_79939E56F42F_.wvu.Rows" sId="1"/>
    <rfmt sheetId="1" xfDxf="1" sqref="A41:XFD41" start="0" length="0">
      <dxf>
        <font>
          <sz val="9"/>
        </font>
      </dxf>
    </rfmt>
    <rcc rId="0" sId="1" dxf="1">
      <nc r="A41" t="inlineStr">
        <is>
          <t>(1) Reflects the FY06 Undergraduate Guaranteed Rate of $152.50 per credit  hour.</t>
        </is>
      </nc>
      <ndxf>
        <font>
          <sz val="9"/>
        </font>
      </ndxf>
    </rcc>
    <rfmt sheetId="1" sqref="C41" start="0" length="0">
      <dxf>
        <numFmt numFmtId="165" formatCode="_(* #,##0.0_);_(* \(#,##0.0\);_(* &quot;-&quot;?_);_(@_)"/>
      </dxf>
    </rfmt>
  </rrc>
  <rrc rId="44" sId="1" ref="A41:XFD41" action="deleteRow">
    <undo index="0" exp="area" ref3D="1" dr="$B$1:$AE$1048576" dn="Z_BA9A371C_F5E4_48D6_83C9_79939E56F42F_.wvu.Cols" sId="1"/>
    <undo index="2" exp="area" ref3D="1" dr="$A$41:$XFD$45" dn="Z_BA9A371C_F5E4_48D6_83C9_79939E56F42F_.wvu.Rows" sId="1"/>
    <rfmt sheetId="1" xfDxf="1" sqref="A41:XFD41" start="0" length="0">
      <dxf>
        <font>
          <sz val="9"/>
        </font>
      </dxf>
    </rfmt>
    <rcc rId="0" sId="1" dxf="1">
      <nc r="A41" t="inlineStr">
        <is>
          <r>
            <rPr>
              <vertAlign val="superscript"/>
              <sz val="9"/>
              <rFont val="Arial"/>
              <family val="2"/>
            </rPr>
            <t>(1)</t>
          </r>
          <r>
            <rPr>
              <sz val="9"/>
              <rFont val="Arial"/>
              <family val="2"/>
            </rPr>
            <t xml:space="preserve">Reflects the FY08 Undergraduate Guaranteed Rate of $212.00 per credit hour. </t>
          </r>
        </is>
      </nc>
      <ndxf>
        <font>
          <sz val="9"/>
        </font>
      </ndxf>
    </rcc>
    <rfmt sheetId="1" sqref="C41" start="0" length="0">
      <dxf>
        <numFmt numFmtId="165" formatCode="_(* #,##0.0_);_(* \(#,##0.0\);_(* &quot;-&quot;?_);_(@_)"/>
      </dxf>
    </rfmt>
  </rrc>
  <rrc rId="45" sId="1" ref="A41:XFD41" action="deleteRow">
    <undo index="0" exp="area" ref3D="1" dr="$B$1:$AE$1048576" dn="Z_BA9A371C_F5E4_48D6_83C9_79939E56F42F_.wvu.Cols" sId="1"/>
    <undo index="2" exp="area" ref3D="1" dr="$A$41:$XFD$44" dn="Z_BA9A371C_F5E4_48D6_83C9_79939E56F42F_.wvu.Rows" sId="1"/>
    <rfmt sheetId="1" xfDxf="1" sqref="A41:XFD41" start="0" length="0">
      <dxf>
        <font>
          <sz val="9"/>
        </font>
      </dxf>
    </rfmt>
    <rcc rId="0" sId="1" dxf="1">
      <nc r="A41" t="inlineStr">
        <is>
          <r>
            <rPr>
              <vertAlign val="superscript"/>
              <sz val="9"/>
              <rFont val="Arial"/>
              <family val="2"/>
            </rPr>
            <t>(1)</t>
          </r>
          <r>
            <rPr>
              <sz val="9"/>
              <rFont val="Arial"/>
              <family val="2"/>
            </rPr>
            <t>Reflects the FY09 Undergraduate Guaranteed Rate of $240.50 per credit hour.</t>
          </r>
        </is>
      </nc>
      <ndxf>
        <font>
          <sz val="9"/>
        </font>
      </ndxf>
    </rcc>
    <rfmt sheetId="1" sqref="C41" start="0" length="0">
      <dxf>
        <numFmt numFmtId="165" formatCode="_(* #,##0.0_);_(* \(#,##0.0\);_(* &quot;-&quot;?_);_(@_)"/>
      </dxf>
    </rfmt>
  </rrc>
  <rrc rId="46" sId="1" ref="A41:XFD41" action="deleteRow">
    <undo index="0" exp="area" ref3D="1" dr="$B$1:$AE$1048576" dn="Z_BA9A371C_F5E4_48D6_83C9_79939E56F42F_.wvu.Cols" sId="1"/>
    <undo index="2" exp="area" ref3D="1" dr="$A$41:$XFD$43" dn="Z_BA9A371C_F5E4_48D6_83C9_79939E56F42F_.wvu.Rows" sId="1"/>
    <rfmt sheetId="1" xfDxf="1" sqref="A41:XFD41" start="0" length="0">
      <dxf>
        <font>
          <sz val="9"/>
        </font>
      </dxf>
    </rfmt>
    <rcc rId="0" sId="1" dxf="1">
      <nc r="A41" t="inlineStr">
        <is>
          <r>
            <rPr>
              <vertAlign val="superscript"/>
              <sz val="9"/>
              <rFont val="Arial"/>
              <family val="2"/>
            </rPr>
            <t>(2)</t>
          </r>
          <r>
            <rPr>
              <sz val="9"/>
              <rFont val="Arial"/>
              <family val="2"/>
            </rPr>
            <t>Reflects the FY10 Undergraduate Guaranteed Rate of $246.75 per credit hour.</t>
          </r>
        </is>
      </nc>
      <ndxf>
        <font>
          <sz val="9"/>
        </font>
      </ndxf>
    </rcc>
    <rfmt sheetId="1" sqref="C41" start="0" length="0">
      <dxf>
        <numFmt numFmtId="165" formatCode="_(* #,##0.0_);_(* \(#,##0.0\);_(* &quot;-&quot;?_);_(@_)"/>
      </dxf>
    </rfmt>
  </rrc>
  <rrc rId="47" sId="1" ref="A41:XFD41" action="deleteRow">
    <undo index="0" exp="area" ref3D="1" dr="$B$1:$AE$1048576" dn="Z_BA9A371C_F5E4_48D6_83C9_79939E56F42F_.wvu.Cols" sId="1"/>
    <undo index="2" exp="area" ref3D="1" dr="$A$41:$XFD$42" dn="Z_BA9A371C_F5E4_48D6_83C9_79939E56F42F_.wvu.Rows" sId="1"/>
    <rfmt sheetId="1" xfDxf="1" sqref="A41:XFD41" start="0" length="0">
      <dxf>
        <font>
          <sz val="9"/>
        </font>
      </dxf>
    </rfmt>
    <rcc rId="0" sId="1" dxf="1">
      <nc r="A41" t="inlineStr">
        <is>
          <r>
            <rPr>
              <vertAlign val="superscript"/>
              <sz val="9"/>
              <rFont val="Arial"/>
              <family val="2"/>
            </rPr>
            <t>(1)</t>
          </r>
          <r>
            <rPr>
              <sz val="9"/>
              <rFont val="Arial"/>
              <family val="2"/>
            </rPr>
            <t>Reflects the FY11 Undergraduate Guaranteed Rate of $270.25 per credit hour.</t>
          </r>
        </is>
      </nc>
      <ndxf>
        <font>
          <sz val="9"/>
        </font>
      </ndxf>
    </rcc>
    <rfmt sheetId="1" sqref="C41" start="0" length="0">
      <dxf>
        <numFmt numFmtId="165" formatCode="_(* #,##0.0_);_(* \(#,##0.0\);_(* &quot;-&quot;?_);_(@_)"/>
      </dxf>
    </rfmt>
    <rfmt sheetId="1" sqref="I41" start="0" length="0">
      <dxf>
        <numFmt numFmtId="34" formatCode="_(&quot;$&quot;* #,##0.00_);_(&quot;$&quot;* \(#,##0.00\);_(&quot;$&quot;* &quot;-&quot;??_);_(@_)"/>
      </dxf>
    </rfmt>
    <rfmt sheetId="1" sqref="J41" start="0" length="0">
      <dxf>
        <numFmt numFmtId="34" formatCode="_(&quot;$&quot;* #,##0.00_);_(&quot;$&quot;* \(#,##0.00\);_(&quot;$&quot;* &quot;-&quot;??_);_(@_)"/>
      </dxf>
    </rfmt>
  </rrc>
  <rrc rId="48" sId="1" ref="A41:XFD41" action="deleteRow">
    <undo index="0" exp="area" ref3D="1" dr="$B$1:$AE$1048576" dn="Z_BA9A371C_F5E4_48D6_83C9_79939E56F42F_.wvu.Cols" sId="1"/>
    <undo index="2" exp="area" ref3D="1" dr="$A$41:$XFD$41" dn="Z_BA9A371C_F5E4_48D6_83C9_79939E56F42F_.wvu.Rows" sId="1"/>
    <rfmt sheetId="1" xfDxf="1" sqref="A41:XFD41" start="0" length="0">
      <dxf>
        <font>
          <sz val="9"/>
        </font>
      </dxf>
    </rfmt>
    <rcc rId="0" sId="1">
      <nc r="A41" t="inlineStr">
        <is>
          <r>
            <rPr>
              <vertAlign val="superscript"/>
              <sz val="9"/>
              <rFont val="Arial"/>
              <family val="2"/>
            </rPr>
            <t>(1)</t>
          </r>
          <r>
            <rPr>
              <sz val="9"/>
              <rFont val="Arial"/>
              <family val="2"/>
            </rPr>
            <t>Reflects the FY12 Undergraduate Guaranteed Rate of $289.00 per credit hour.</t>
          </r>
        </is>
      </nc>
    </rcc>
    <rfmt sheetId="1" sqref="C41" start="0" length="0">
      <dxf>
        <numFmt numFmtId="165" formatCode="_(* #,##0.0_);_(* \(#,##0.0\);_(* &quot;-&quot;?_);_(@_)"/>
      </dxf>
    </rfmt>
    <rfmt sheetId="1" sqref="I41" start="0" length="0">
      <dxf>
        <numFmt numFmtId="34" formatCode="_(&quot;$&quot;* #,##0.00_);_(&quot;$&quot;* \(#,##0.00\);_(&quot;$&quot;* &quot;-&quot;??_);_(@_)"/>
      </dxf>
    </rfmt>
    <rfmt sheetId="1" sqref="J41" start="0" length="0">
      <dxf>
        <numFmt numFmtId="34" formatCode="_(&quot;$&quot;* #,##0.00_);_(&quot;$&quot;* \(#,##0.00\);_(&quot;$&quot;* &quot;-&quot;??_);_(@_)"/>
      </dxf>
    </rfmt>
  </rrc>
  <rrc rId="49" sId="1" ref="A41:XFD41" action="deleteRow">
    <undo index="0" exp="area" ref3D="1" dr="$B$1:$AE$1048576" dn="Z_BA9A371C_F5E4_48D6_83C9_79939E56F42F_.wvu.Cols" sId="1"/>
    <rfmt sheetId="1" xfDxf="1" sqref="A41:XFD41" start="0" length="0">
      <dxf>
        <font>
          <sz val="9"/>
        </font>
      </dxf>
    </rfmt>
    <rcc rId="0" sId="1">
      <nc r="A41" t="inlineStr">
        <is>
          <r>
            <rPr>
              <vertAlign val="superscript"/>
              <sz val="9"/>
              <rFont val="Arial"/>
              <family val="2"/>
            </rPr>
            <t>(1)</t>
          </r>
          <r>
            <rPr>
              <sz val="9"/>
              <rFont val="Arial"/>
              <family val="2"/>
            </rPr>
            <t>Reflects the FY15 Undergraduate Guaranteed Rate of $313.50 per credit hour.</t>
          </r>
        </is>
      </nc>
    </rcc>
    <rfmt sheetId="1" sqref="C41" start="0" length="0">
      <dxf>
        <numFmt numFmtId="165" formatCode="_(* #,##0.0_);_(* \(#,##0.0\);_(* &quot;-&quot;?_);_(@_)"/>
      </dxf>
    </rfmt>
    <rfmt sheetId="1" sqref="I41" start="0" length="0">
      <dxf>
        <numFmt numFmtId="34" formatCode="_(&quot;$&quot;* #,##0.00_);_(&quot;$&quot;* \(#,##0.00\);_(&quot;$&quot;* &quot;-&quot;??_);_(@_)"/>
      </dxf>
    </rfmt>
    <rfmt sheetId="1" sqref="J41" start="0" length="0">
      <dxf>
        <numFmt numFmtId="34" formatCode="_(&quot;$&quot;* #,##0.00_);_(&quot;$&quot;* \(#,##0.00\);_(&quot;$&quot;* &quot;-&quot;??_);_(@_)"/>
      </dxf>
    </rfmt>
  </rrc>
  <rfmt sheetId="1" sqref="AQ33">
    <dxf>
      <numFmt numFmtId="168" formatCode="&quot;$&quot;#,##0.0"/>
      <alignment horizontal="right" readingOrder="0"/>
    </dxf>
  </rfmt>
  <rfmt sheetId="1" sqref="AQ33" start="0" length="2147483647">
    <dxf>
      <font>
        <sz val="10"/>
      </font>
    </dxf>
  </rfmt>
  <rfmt sheetId="1" sqref="AQ33" start="0" length="2147483647">
    <dxf>
      <font>
        <vertAlign val="baseline"/>
      </font>
    </dxf>
  </rfmt>
  <rfmt sheetId="1" sqref="AQ33">
    <dxf>
      <alignment indent="1" readingOrder="0"/>
    </dxf>
  </rfmt>
  <rfmt sheetId="1" sqref="AQ33">
    <dxf>
      <alignment horizontal="general" indent="0" readingOrder="0"/>
    </dxf>
  </rfmt>
  <rfmt sheetId="1" sqref="AQ33">
    <dxf>
      <numFmt numFmtId="166" formatCode="_(&quot;$&quot;* #,##0.0_);_(&quot;$&quot;* \(#,##0.0\);_(&quot;$&quot;* &quot;-&quot;?_);_(@_)"/>
    </dxf>
  </rfmt>
  <rcc rId="50" sId="1">
    <oc r="A42" t="inlineStr">
      <is>
        <r>
          <rPr>
            <vertAlign val="superscript"/>
            <sz val="9"/>
            <rFont val="Arial"/>
            <family val="2"/>
          </rPr>
          <t>(2)</t>
        </r>
        <r>
          <rPr>
            <sz val="9"/>
            <rFont val="Arial"/>
            <family val="2"/>
          </rPr>
          <t>Reflects the FY16 Undergraduate Guaranteed Rate of $313.50 per credit hour.</t>
        </r>
      </is>
    </oc>
    <nc r="A42" t="inlineStr">
      <is>
        <r>
          <rPr>
            <vertAlign val="superscript"/>
            <sz val="9"/>
            <rFont val="Arial"/>
            <family val="2"/>
          </rPr>
          <t>(1)</t>
        </r>
        <r>
          <rPr>
            <sz val="9"/>
            <rFont val="Arial"/>
            <family val="2"/>
          </rPr>
          <t>Reflects the FY16 Undergraduate Guaranteed Rate of $313.50 per credit hour.</t>
        </r>
      </is>
    </nc>
  </rcc>
  <rcc rId="51" sId="1">
    <oc r="A43" t="inlineStr">
      <is>
        <r>
          <rPr>
            <vertAlign val="superscript"/>
            <sz val="9"/>
            <rFont val="Arial"/>
            <family val="2"/>
          </rPr>
          <t>(3)</t>
        </r>
        <r>
          <rPr>
            <sz val="9"/>
            <rFont val="Arial"/>
            <family val="2"/>
          </rPr>
          <t>Reflects the FY17 Undergraduate Guaranteed Rate of $313.50 per credit hour.</t>
        </r>
      </is>
    </oc>
    <nc r="A43" t="inlineStr">
      <is>
        <r>
          <rPr>
            <vertAlign val="superscript"/>
            <sz val="9"/>
            <rFont val="Arial"/>
            <family val="2"/>
          </rPr>
          <t>(2)</t>
        </r>
        <r>
          <rPr>
            <sz val="9"/>
            <rFont val="Arial"/>
            <family val="2"/>
          </rPr>
          <t>Reflects the FY17 Undergraduate Guaranteed Rate of $313.50 per credit hour.</t>
        </r>
      </is>
    </nc>
  </rcc>
  <rcc rId="52" sId="1">
    <oc r="A44" t="inlineStr">
      <is>
        <r>
          <rPr>
            <vertAlign val="superscript"/>
            <sz val="9"/>
            <rFont val="Arial"/>
            <family val="2"/>
          </rPr>
          <t>(4)</t>
        </r>
        <r>
          <rPr>
            <sz val="9"/>
            <rFont val="Arial"/>
            <family val="2"/>
          </rPr>
          <t>Reflects the FY18 Undergraduate Guaranteed Rate of $313.50 per credit hour.</t>
        </r>
      </is>
    </oc>
    <nc r="A44" t="inlineStr">
      <is>
        <r>
          <rPr>
            <vertAlign val="superscript"/>
            <sz val="9"/>
            <rFont val="Arial"/>
            <family val="2"/>
          </rPr>
          <t>(3)</t>
        </r>
        <r>
          <rPr>
            <sz val="9"/>
            <rFont val="Arial"/>
            <family val="2"/>
          </rPr>
          <t>Reflects the FY18 Undergraduate Guaranteed Rate of $313.50 per credit hour.</t>
        </r>
      </is>
    </nc>
  </rcc>
  <rcc rId="53" sId="1">
    <oc r="A45" t="inlineStr">
      <is>
        <r>
          <rPr>
            <vertAlign val="superscript"/>
            <sz val="9"/>
            <rFont val="Arial"/>
            <family val="2"/>
          </rPr>
          <t>(5)</t>
        </r>
        <r>
          <rPr>
            <sz val="9"/>
            <rFont val="Arial"/>
            <family val="2"/>
          </rPr>
          <t>Reflects the FY19 Undergraduate Guaranteed Rate of $313.50 per credit hour.</t>
        </r>
      </is>
    </oc>
    <nc r="A45" t="inlineStr">
      <is>
        <r>
          <rPr>
            <vertAlign val="superscript"/>
            <sz val="9"/>
            <rFont val="Arial"/>
            <family val="2"/>
          </rPr>
          <t>(4)</t>
        </r>
        <r>
          <rPr>
            <sz val="9"/>
            <rFont val="Arial"/>
            <family val="2"/>
          </rPr>
          <t>Reflects the FY19 Undergraduate Guaranteed Rate of $313.50 per credit hour.</t>
        </r>
      </is>
    </nc>
  </rcc>
  <rcc rId="54" sId="1">
    <oc r="A46" t="inlineStr">
      <is>
        <r>
          <rPr>
            <vertAlign val="superscript"/>
            <sz val="9"/>
            <rFont val="Arial"/>
            <family val="2"/>
          </rPr>
          <t>(6)</t>
        </r>
        <r>
          <rPr>
            <sz val="9"/>
            <rFont val="Arial"/>
            <family val="2"/>
          </rPr>
          <t>Reflects the FY20 Undergraduate Guaranteed Rate of $313.50 per credit hour.</t>
        </r>
      </is>
    </oc>
    <nc r="A46" t="inlineStr">
      <is>
        <r>
          <rPr>
            <vertAlign val="superscript"/>
            <sz val="9"/>
            <rFont val="Arial"/>
            <family val="2"/>
          </rPr>
          <t>(5)</t>
        </r>
        <r>
          <rPr>
            <sz val="9"/>
            <rFont val="Arial"/>
            <family val="2"/>
          </rPr>
          <t>Reflects the FY20 Undergraduate Guaranteed Rate of $313.50 per credit hour.</t>
        </r>
      </is>
    </nc>
  </rcc>
  <rcc rId="55" sId="1">
    <oc r="A47" t="inlineStr">
      <is>
        <r>
          <rPr>
            <vertAlign val="superscript"/>
            <sz val="9"/>
            <rFont val="Arial"/>
            <family val="2"/>
          </rPr>
          <t>(7)</t>
        </r>
        <r>
          <rPr>
            <sz val="9"/>
            <rFont val="Arial"/>
            <family val="2"/>
          </rPr>
          <t>Reflects the FY21 Undergraduate Guaranteed Rate of $316.75 per credit hour.</t>
        </r>
      </is>
    </oc>
    <nc r="A47" t="inlineStr">
      <is>
        <r>
          <rPr>
            <vertAlign val="superscript"/>
            <sz val="9"/>
            <rFont val="Arial"/>
            <family val="2"/>
          </rPr>
          <t>(6)</t>
        </r>
        <r>
          <rPr>
            <sz val="9"/>
            <rFont val="Arial"/>
            <family val="2"/>
          </rPr>
          <t>Reflects the FY21 Undergraduate Guaranteed Rate of $316.75 per credit hour.</t>
        </r>
      </is>
    </nc>
  </rcc>
  <rcc rId="56" sId="1">
    <nc r="A48" t="inlineStr">
      <is>
        <r>
          <rPr>
            <vertAlign val="superscript"/>
            <sz val="9"/>
            <rFont val="Arial"/>
            <family val="2"/>
          </rPr>
          <t>(7)</t>
        </r>
        <r>
          <rPr>
            <sz val="9"/>
            <rFont val="Arial"/>
            <family val="2"/>
          </rPr>
          <t xml:space="preserve">Reflects the FY22 Undergraduate Guaranteed Rate of </t>
        </r>
        <r>
          <rPr>
            <sz val="9"/>
            <color rgb="FFFF0000"/>
            <rFont val="Arial"/>
            <family val="2"/>
          </rPr>
          <t>$316.75</t>
        </r>
        <r>
          <rPr>
            <sz val="9"/>
            <rFont val="Arial"/>
            <family val="2"/>
          </rPr>
          <t xml:space="preserve"> per credit hour.</t>
        </r>
      </is>
    </nc>
  </rcc>
  <rcv guid="{BA9A371C-F5E4-48D6-83C9-79939E56F42F}" action="delete"/>
  <rdn rId="0" localSheetId="1" customView="1" name="Z_BA9A371C_F5E4_48D6_83C9_79939E56F42F_.wvu.PrintArea" hidden="1" oldHidden="1">
    <formula>Report!$A$1:$AU$49</formula>
    <oldFormula>Report!$A$1:$AU$49</oldFormula>
  </rdn>
  <rdn rId="0" localSheetId="1" customView="1" name="Z_BA9A371C_F5E4_48D6_83C9_79939E56F42F_.wvu.Rows" hidden="1" oldHidden="1">
    <formula>Report!$10:$14</formula>
    <oldFormula>Report!$10:$14,Report!#REF!</oldFormula>
  </rdn>
  <rdn rId="0" localSheetId="1" customView="1" name="Z_BA9A371C_F5E4_48D6_83C9_79939E56F42F_.wvu.Cols" hidden="1" oldHidden="1">
    <formula>Report!$B:$AF</formula>
    <oldFormula>Report!$B:$AE</oldFormula>
  </rdn>
  <rdn rId="0" localSheetId="2" customView="1" name="Z_BA9A371C_F5E4_48D6_83C9_79939E56F42F_.wvu.PrintArea" hidden="1" oldHidden="1">
    <formula>Data!$A$152:$K$206</formula>
    <oldFormula>Data!$A$152:$K$206</oldFormula>
  </rdn>
  <rcv guid="{BA9A371C-F5E4-48D6-83C9-79939E56F42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" sId="1">
    <oc r="A5" t="inlineStr">
      <is>
        <t>FY15 - FY21</t>
      </is>
    </oc>
    <nc r="A5" t="inlineStr">
      <is>
        <t>FY16 - FY22</t>
      </is>
    </nc>
  </rcc>
  <rcc rId="62" sId="1">
    <oc r="AU18">
      <f>+(AS18-AE18)/AE18</f>
    </oc>
    <nc r="AU18">
      <f>+(AS18-AG18)/AG18</f>
    </nc>
  </rcc>
  <rcc rId="63" sId="1">
    <oc r="AU19">
      <f>+(AS19-AE19)/AE19</f>
    </oc>
    <nc r="AU19">
      <f>+(AS19-AG19)/AG19</f>
    </nc>
  </rcc>
  <rcc rId="64" sId="1">
    <oc r="AU20">
      <f>+(AS20-AE20)/AE20</f>
    </oc>
    <nc r="AU20">
      <f>+(AS20-AG20)/AG20</f>
    </nc>
  </rcc>
  <rcc rId="65" sId="1">
    <oc r="AU22">
      <f>+(AS22-AE22)/AE22</f>
    </oc>
    <nc r="AU22">
      <f>+(AS22-AEG2)/AG22</f>
    </nc>
  </rcc>
  <rcc rId="66" sId="1">
    <oc r="AU25">
      <f>+(AS25-AE25)/AE25</f>
    </oc>
    <nc r="AU25">
      <f>+(AS25-AG25)/AG25</f>
    </nc>
  </rcc>
  <rcc rId="67" sId="1">
    <oc r="AU27">
      <f>+(AS27-AE27)/AE27</f>
    </oc>
    <nc r="AU27">
      <f>+(AS27-AG27)/AG27</f>
    </nc>
  </rcc>
  <rcc rId="68" sId="1">
    <oc r="AU29">
      <f>+(AS29-AE29)/AE29</f>
    </oc>
    <nc r="AU29">
      <f>+(AS29-AG29)/AG29</f>
    </nc>
  </rcc>
  <rcc rId="69" sId="1">
    <oc r="AU33">
      <f>+(AS33-AE33)/AE33</f>
    </oc>
    <nc r="AU33">
      <f>+(AS33-AG33)/AG33</f>
    </nc>
  </rcc>
  <rcc rId="70" sId="1">
    <oc r="AU34">
      <f>+(AS34-AE34)/AE34</f>
    </oc>
    <nc r="AU34">
      <f>+(AS34-AG34)/AG34</f>
    </nc>
  </rcc>
  <rcc rId="71" sId="1">
    <oc r="AU35">
      <f>+(AS35-AE35)/AE35</f>
    </oc>
    <nc r="AU35">
      <f>+(AS35-AG35)/AG35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" sId="1">
    <oc r="A48" t="inlineStr">
      <is>
        <r>
          <rPr>
            <vertAlign val="superscript"/>
            <sz val="9"/>
            <rFont val="Arial"/>
            <family val="2"/>
          </rPr>
          <t>(7)</t>
        </r>
        <r>
          <rPr>
            <sz val="9"/>
            <rFont val="Arial"/>
            <family val="2"/>
          </rPr>
          <t xml:space="preserve">Reflects the FY22 Undergraduate Guaranteed Rate of </t>
        </r>
        <r>
          <rPr>
            <sz val="9"/>
            <color rgb="FFFF0000"/>
            <rFont val="Arial"/>
            <family val="2"/>
          </rPr>
          <t>$316.75</t>
        </r>
        <r>
          <rPr>
            <sz val="9"/>
            <rFont val="Arial"/>
            <family val="2"/>
          </rPr>
          <t xml:space="preserve"> per credit hour.</t>
        </r>
      </is>
    </oc>
    <nc r="A48" t="inlineStr">
      <is>
        <r>
          <rPr>
            <vertAlign val="superscript"/>
            <sz val="9"/>
            <rFont val="Arial"/>
            <family val="2"/>
          </rPr>
          <t>(7)</t>
        </r>
        <r>
          <rPr>
            <sz val="9"/>
            <rFont val="Arial"/>
            <family val="2"/>
          </rPr>
          <t xml:space="preserve">Reflects the FY22 Undergraduate Guaranteed Rate of </t>
        </r>
        <r>
          <rPr>
            <sz val="9"/>
            <color rgb="FFFF0000"/>
            <rFont val="Arial"/>
            <family val="2"/>
          </rPr>
          <t>$XXX.XX</t>
        </r>
        <r>
          <rPr>
            <sz val="9"/>
            <rFont val="Arial"/>
            <family val="2"/>
          </rPr>
          <t xml:space="preserve"> per credit hour.</t>
        </r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" sId="1">
    <oc r="A48" t="inlineStr">
      <is>
        <r>
          <rPr>
            <vertAlign val="superscript"/>
            <sz val="9"/>
            <rFont val="Arial"/>
            <family val="2"/>
          </rPr>
          <t>(7)</t>
        </r>
        <r>
          <rPr>
            <sz val="9"/>
            <rFont val="Arial"/>
            <family val="2"/>
          </rPr>
          <t xml:space="preserve">Reflects the FY22 Undergraduate Guaranteed Rate of </t>
        </r>
        <r>
          <rPr>
            <sz val="9"/>
            <color rgb="FFFF0000"/>
            <rFont val="Arial"/>
            <family val="2"/>
          </rPr>
          <t>$XXX.XX</t>
        </r>
        <r>
          <rPr>
            <sz val="9"/>
            <rFont val="Arial"/>
            <family val="2"/>
          </rPr>
          <t xml:space="preserve"> per credit hour.</t>
        </r>
      </is>
    </oc>
    <nc r="A48" t="inlineStr">
      <is>
        <r>
          <rPr>
            <vertAlign val="superscript"/>
            <sz val="9"/>
            <rFont val="Arial"/>
            <family val="2"/>
          </rPr>
          <t>(7)</t>
        </r>
        <r>
          <rPr>
            <sz val="9"/>
            <rFont val="Arial"/>
            <family val="2"/>
          </rPr>
          <t>Reflects the FY22 Undergraduate Guaranteed Rate of $316.75 per credit hour.</t>
        </r>
      </is>
    </nc>
  </rcc>
  <rcv guid="{BA9A371C-F5E4-48D6-83C9-79939E56F42F}" action="delete"/>
  <rdn rId="0" localSheetId="1" customView="1" name="Z_BA9A371C_F5E4_48D6_83C9_79939E56F42F_.wvu.PrintArea" hidden="1" oldHidden="1">
    <formula>Report!$A$1:$AU$49</formula>
    <oldFormula>Report!$A$1:$AU$49</oldFormula>
  </rdn>
  <rdn rId="0" localSheetId="1" customView="1" name="Z_BA9A371C_F5E4_48D6_83C9_79939E56F42F_.wvu.Rows" hidden="1" oldHidden="1">
    <formula>Report!$10:$14</formula>
    <oldFormula>Report!$10:$14</oldFormula>
  </rdn>
  <rdn rId="0" localSheetId="1" customView="1" name="Z_BA9A371C_F5E4_48D6_83C9_79939E56F42F_.wvu.Cols" hidden="1" oldHidden="1">
    <formula>Report!$B:$AF</formula>
    <oldFormula>Report!$B:$AF</oldFormula>
  </rdn>
  <rdn rId="0" localSheetId="2" customView="1" name="Z_BA9A371C_F5E4_48D6_83C9_79939E56F42F_.wvu.PrintArea" hidden="1" oldHidden="1">
    <formula>Data!$A$152:$K$206</formula>
    <oldFormula>Data!$A$152:$K$206</oldFormula>
  </rdn>
  <rcv guid="{BA9A371C-F5E4-48D6-83C9-79939E56F42F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" sId="1">
    <nc r="AS33">
      <f>AQ33</f>
    </nc>
  </rcc>
  <rfmt sheetId="1" sqref="AQ34" start="0" length="0">
    <dxf>
      <border>
        <left/>
        <right/>
        <top/>
        <bottom style="thin">
          <color indexed="64"/>
        </bottom>
      </border>
    </dxf>
  </rfmt>
  <rcc rId="79" sId="1" numFmtId="34">
    <nc r="AS34">
      <v>1856</v>
    </nc>
  </rcc>
  <rcc rId="80" sId="1" numFmtId="34">
    <nc r="AS18">
      <v>7833.3</v>
    </nc>
  </rcc>
  <rcc rId="81" sId="1" numFmtId="34">
    <nc r="AS19">
      <v>5781.3</v>
    </nc>
  </rcc>
  <rcc rId="82" sId="1" numFmtId="34">
    <nc r="AS20">
      <v>8781.2999999999993</v>
    </nc>
  </rcc>
  <rcc rId="83" sId="1" numFmtId="34">
    <nc r="AS25">
      <v>9637.1</v>
    </nc>
  </rcc>
  <rcc rId="84" sId="1" numFmtId="34">
    <nc r="AS27">
      <v>1535.1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A9A371C-F5E4-48D6-83C9-79939E56F42F}" action="delete"/>
  <rdn rId="0" localSheetId="1" customView="1" name="Z_BA9A371C_F5E4_48D6_83C9_79939E56F42F_.wvu.PrintArea" hidden="1" oldHidden="1">
    <formula>Report!$A$1:$AU$49</formula>
    <oldFormula>Report!$A$1:$AU$49</oldFormula>
  </rdn>
  <rdn rId="0" localSheetId="1" customView="1" name="Z_BA9A371C_F5E4_48D6_83C9_79939E56F42F_.wvu.Rows" hidden="1" oldHidden="1">
    <formula>Report!$10:$14</formula>
    <oldFormula>Report!$10:$14</oldFormula>
  </rdn>
  <rdn rId="0" localSheetId="1" customView="1" name="Z_BA9A371C_F5E4_48D6_83C9_79939E56F42F_.wvu.Cols" hidden="1" oldHidden="1">
    <formula>Report!$B:$AF</formula>
    <oldFormula>Report!$B:$AF</oldFormula>
  </rdn>
  <rdn rId="0" localSheetId="2" customView="1" name="Z_BA9A371C_F5E4_48D6_83C9_79939E56F42F_.wvu.PrintArea" hidden="1" oldHidden="1">
    <formula>Data!$A$152:$K$206</formula>
    <oldFormula>Data!$A$152:$K$206</oldFormula>
  </rdn>
  <rcv guid="{BA9A371C-F5E4-48D6-83C9-79939E56F42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9"/>
  <sheetViews>
    <sheetView tabSelected="1" workbookViewId="0">
      <selection activeCell="AS34" sqref="AS34"/>
    </sheetView>
  </sheetViews>
  <sheetFormatPr defaultRowHeight="12.75" x14ac:dyDescent="0.2"/>
  <cols>
    <col min="1" max="1" width="30.28515625" customWidth="1"/>
    <col min="2" max="2" width="2.7109375" hidden="1" customWidth="1"/>
    <col min="3" max="3" width="10.28515625" style="10" hidden="1" customWidth="1"/>
    <col min="4" max="4" width="2.7109375" hidden="1" customWidth="1"/>
    <col min="5" max="5" width="10.28515625" hidden="1" customWidth="1"/>
    <col min="6" max="6" width="2.7109375" hidden="1" customWidth="1"/>
    <col min="7" max="7" width="10.28515625" hidden="1" customWidth="1"/>
    <col min="8" max="8" width="2.7109375" hidden="1" customWidth="1"/>
    <col min="9" max="9" width="10.28515625" hidden="1" customWidth="1"/>
    <col min="10" max="10" width="2.7109375" hidden="1" customWidth="1"/>
    <col min="11" max="11" width="10.28515625" style="9" hidden="1" customWidth="1"/>
    <col min="12" max="12" width="2.7109375" style="9" hidden="1" customWidth="1"/>
    <col min="13" max="13" width="10.28515625" style="9" hidden="1" customWidth="1"/>
    <col min="14" max="14" width="3.140625" style="9" hidden="1" customWidth="1"/>
    <col min="15" max="15" width="10.28515625" style="9" hidden="1" customWidth="1"/>
    <col min="16" max="16" width="3.140625" style="9" hidden="1" customWidth="1"/>
    <col min="17" max="17" width="10.28515625" style="9" hidden="1" customWidth="1"/>
    <col min="18" max="18" width="2.7109375" hidden="1" customWidth="1"/>
    <col min="19" max="19" width="10.28515625" hidden="1" customWidth="1"/>
    <col min="20" max="20" width="2.7109375" hidden="1" customWidth="1"/>
    <col min="21" max="21" width="10.28515625" hidden="1" customWidth="1"/>
    <col min="22" max="22" width="2.7109375" hidden="1" customWidth="1"/>
    <col min="23" max="23" width="10.28515625" hidden="1" customWidth="1"/>
    <col min="24" max="24" width="2.7109375" hidden="1" customWidth="1"/>
    <col min="25" max="25" width="10.28515625" hidden="1" customWidth="1"/>
    <col min="26" max="26" width="2.7109375" hidden="1" customWidth="1"/>
    <col min="27" max="27" width="10.28515625" hidden="1" customWidth="1"/>
    <col min="28" max="28" width="2.7109375" hidden="1" customWidth="1"/>
    <col min="29" max="29" width="10.28515625" hidden="1" customWidth="1"/>
    <col min="30" max="30" width="2.7109375" hidden="1" customWidth="1"/>
    <col min="31" max="31" width="10.7109375" hidden="1" customWidth="1"/>
    <col min="32" max="32" width="2.7109375" hidden="1" customWidth="1"/>
    <col min="33" max="33" width="10.28515625" customWidth="1"/>
    <col min="34" max="34" width="2.7109375" customWidth="1"/>
    <col min="35" max="35" width="10.28515625" customWidth="1"/>
    <col min="36" max="36" width="2.7109375" customWidth="1"/>
    <col min="37" max="37" width="10.28515625" customWidth="1"/>
    <col min="38" max="38" width="2.7109375" customWidth="1"/>
    <col min="39" max="39" width="10.28515625" customWidth="1"/>
    <col min="40" max="40" width="2.7109375" customWidth="1"/>
    <col min="41" max="41" width="10.28515625" customWidth="1"/>
    <col min="42" max="42" width="2.7109375" customWidth="1"/>
    <col min="43" max="43" width="11" customWidth="1"/>
    <col min="44" max="44" width="2.7109375" customWidth="1"/>
    <col min="45" max="45" width="10.28515625" customWidth="1"/>
    <col min="46" max="46" width="2.7109375" customWidth="1"/>
    <col min="47" max="47" width="10.42578125" customWidth="1"/>
    <col min="48" max="48" width="8.7109375" customWidth="1"/>
  </cols>
  <sheetData>
    <row r="1" spans="1:47" ht="14.25" x14ac:dyDescent="0.2">
      <c r="A1" s="170" t="s">
        <v>55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</row>
    <row r="2" spans="1:47" ht="3.95" customHeight="1" x14ac:dyDescent="0.2">
      <c r="A2" s="34"/>
      <c r="B2" s="34"/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63"/>
      <c r="U2" s="76"/>
      <c r="V2" s="76"/>
      <c r="W2" s="63"/>
      <c r="X2" s="90"/>
      <c r="Y2" s="78"/>
      <c r="Z2" s="90"/>
      <c r="AA2" s="90"/>
      <c r="AB2" s="34"/>
      <c r="AC2" s="108"/>
      <c r="AD2" s="123"/>
      <c r="AE2" s="123"/>
      <c r="AF2" s="123"/>
      <c r="AG2" s="123"/>
      <c r="AH2" s="128"/>
      <c r="AI2" s="139"/>
      <c r="AJ2" s="139"/>
      <c r="AK2" s="128"/>
      <c r="AL2" s="155"/>
      <c r="AM2" s="155"/>
      <c r="AN2" s="160"/>
      <c r="AO2" s="160"/>
      <c r="AP2" s="160"/>
      <c r="AQ2" s="167"/>
      <c r="AR2" s="167"/>
      <c r="AS2" s="160"/>
      <c r="AT2" s="108"/>
      <c r="AU2" s="34"/>
    </row>
    <row r="3" spans="1:47" ht="14.25" x14ac:dyDescent="0.2">
      <c r="A3" s="170" t="s">
        <v>19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</row>
    <row r="4" spans="1:47" ht="3.95" customHeight="1" x14ac:dyDescent="0.2">
      <c r="A4" s="34"/>
      <c r="B4" s="34"/>
      <c r="C4" s="35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63"/>
      <c r="U4" s="76"/>
      <c r="V4" s="76"/>
      <c r="W4" s="63"/>
      <c r="X4" s="90"/>
      <c r="Y4" s="78"/>
      <c r="Z4" s="90"/>
      <c r="AA4" s="90"/>
      <c r="AB4" s="34"/>
      <c r="AC4" s="108"/>
      <c r="AD4" s="123"/>
      <c r="AE4" s="123"/>
      <c r="AF4" s="123"/>
      <c r="AG4" s="123"/>
      <c r="AH4" s="128"/>
      <c r="AI4" s="139"/>
      <c r="AJ4" s="139"/>
      <c r="AK4" s="128"/>
      <c r="AL4" s="155"/>
      <c r="AM4" s="155"/>
      <c r="AN4" s="160"/>
      <c r="AO4" s="160"/>
      <c r="AP4" s="160"/>
      <c r="AQ4" s="167"/>
      <c r="AR4" s="167"/>
      <c r="AS4" s="160"/>
      <c r="AT4" s="108"/>
      <c r="AU4" s="34"/>
    </row>
    <row r="5" spans="1:47" ht="14.25" x14ac:dyDescent="0.2">
      <c r="A5" s="170" t="s">
        <v>88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</row>
    <row r="6" spans="1:47" x14ac:dyDescent="0.2">
      <c r="AU6" s="1"/>
    </row>
    <row r="7" spans="1:47" x14ac:dyDescent="0.2">
      <c r="AU7" s="1" t="s">
        <v>0</v>
      </c>
    </row>
    <row r="8" spans="1:47" x14ac:dyDescent="0.2">
      <c r="A8" s="1"/>
      <c r="E8" s="1"/>
      <c r="I8" s="1"/>
      <c r="J8" s="1"/>
      <c r="AU8" s="1" t="s">
        <v>13</v>
      </c>
    </row>
    <row r="9" spans="1:47" ht="12.6" customHeight="1" x14ac:dyDescent="0.2">
      <c r="A9" s="2" t="s">
        <v>14</v>
      </c>
      <c r="C9" s="11" t="s">
        <v>10</v>
      </c>
      <c r="E9" s="2" t="s">
        <v>11</v>
      </c>
      <c r="G9" s="2" t="s">
        <v>12</v>
      </c>
      <c r="I9" s="2" t="s">
        <v>16</v>
      </c>
      <c r="J9" s="6"/>
      <c r="K9" s="2" t="s">
        <v>17</v>
      </c>
      <c r="L9" s="6"/>
      <c r="M9" s="49" t="s">
        <v>52</v>
      </c>
      <c r="N9" s="6"/>
      <c r="O9" s="101" t="s">
        <v>23</v>
      </c>
      <c r="P9" s="6"/>
      <c r="Q9" s="2" t="s">
        <v>25</v>
      </c>
      <c r="S9" s="49" t="s">
        <v>33</v>
      </c>
      <c r="U9" s="49" t="s">
        <v>45</v>
      </c>
      <c r="W9" s="49" t="s">
        <v>48</v>
      </c>
      <c r="X9" s="92"/>
      <c r="Y9" s="49" t="s">
        <v>54</v>
      </c>
      <c r="Z9" s="92"/>
      <c r="AA9" s="49" t="s">
        <v>56</v>
      </c>
      <c r="AC9" s="49" t="s">
        <v>57</v>
      </c>
      <c r="AD9" s="92"/>
      <c r="AE9" s="144" t="s">
        <v>59</v>
      </c>
      <c r="AF9" s="92"/>
      <c r="AG9" s="49" t="s">
        <v>60</v>
      </c>
      <c r="AH9" s="92"/>
      <c r="AI9" s="49" t="s">
        <v>65</v>
      </c>
      <c r="AJ9" s="92"/>
      <c r="AK9" s="144" t="s">
        <v>69</v>
      </c>
      <c r="AL9" s="156"/>
      <c r="AM9" s="144" t="s">
        <v>70</v>
      </c>
      <c r="AN9" s="156"/>
      <c r="AO9" s="144" t="s">
        <v>73</v>
      </c>
      <c r="AP9" s="156"/>
      <c r="AQ9" s="144" t="s">
        <v>74</v>
      </c>
      <c r="AR9" s="156"/>
      <c r="AS9" s="144" t="s">
        <v>78</v>
      </c>
      <c r="AU9" s="144" t="s">
        <v>79</v>
      </c>
    </row>
    <row r="10" spans="1:47" ht="12.6" hidden="1" customHeight="1" x14ac:dyDescent="0.2">
      <c r="A10" s="6">
        <v>86</v>
      </c>
      <c r="C10" s="12"/>
      <c r="E10" s="6" t="s">
        <v>1</v>
      </c>
      <c r="G10" s="7"/>
      <c r="I10" s="6" t="s">
        <v>1</v>
      </c>
      <c r="J10" s="6"/>
      <c r="O10" s="102"/>
      <c r="AU10" s="8">
        <v>16424</v>
      </c>
    </row>
    <row r="11" spans="1:47" ht="12.6" hidden="1" customHeight="1" x14ac:dyDescent="0.2">
      <c r="A11" s="6">
        <v>87</v>
      </c>
      <c r="C11" s="12"/>
      <c r="E11" s="6"/>
      <c r="G11" s="7"/>
      <c r="I11" s="6"/>
      <c r="J11" s="6"/>
      <c r="O11" s="102"/>
      <c r="AU11" s="8">
        <v>17347</v>
      </c>
    </row>
    <row r="12" spans="1:47" ht="12.6" hidden="1" customHeight="1" x14ac:dyDescent="0.2">
      <c r="A12" s="1">
        <v>88</v>
      </c>
      <c r="C12" s="13">
        <v>46.5</v>
      </c>
      <c r="E12" s="4">
        <f>(C12-44.75)/44.75</f>
        <v>3.9106145251396648E-2</v>
      </c>
      <c r="G12" s="3">
        <v>47.75</v>
      </c>
      <c r="I12" s="4">
        <f>(G12-46)/46</f>
        <v>3.8043478260869568E-2</v>
      </c>
      <c r="J12" s="4"/>
      <c r="O12" s="102"/>
      <c r="AU12" s="5">
        <v>18613</v>
      </c>
    </row>
    <row r="13" spans="1:47" ht="12.6" hidden="1" customHeight="1" x14ac:dyDescent="0.2">
      <c r="A13" s="1">
        <v>89</v>
      </c>
      <c r="C13" s="13">
        <v>54.75</v>
      </c>
      <c r="E13" s="4">
        <f>(+C13-C12)/C12</f>
        <v>0.17741935483870969</v>
      </c>
      <c r="G13" s="3">
        <v>56</v>
      </c>
      <c r="I13" s="4">
        <f>+(G13-G12)/G12</f>
        <v>0.17277486910994763</v>
      </c>
      <c r="J13" s="4"/>
      <c r="O13" s="102"/>
      <c r="AU13" s="5">
        <v>19770</v>
      </c>
    </row>
    <row r="14" spans="1:47" ht="12.6" hidden="1" customHeight="1" x14ac:dyDescent="0.2">
      <c r="A14" s="1">
        <v>90</v>
      </c>
      <c r="C14" s="13">
        <v>65</v>
      </c>
      <c r="E14" s="4">
        <f>(+C14-C13)/C13</f>
        <v>0.18721461187214611</v>
      </c>
      <c r="G14" s="3">
        <v>66.25</v>
      </c>
      <c r="I14" s="4">
        <f>+(G14-G13)/G13</f>
        <v>0.18303571428571427</v>
      </c>
      <c r="J14" s="4"/>
      <c r="O14" s="102"/>
      <c r="AU14" s="5">
        <v>20824</v>
      </c>
    </row>
    <row r="15" spans="1:47" ht="12.75" customHeight="1" x14ac:dyDescent="0.2">
      <c r="A15" s="1"/>
      <c r="C15" s="13"/>
      <c r="E15" s="4"/>
      <c r="G15" s="3"/>
      <c r="I15" s="4"/>
      <c r="J15" s="4"/>
      <c r="O15" s="102"/>
      <c r="AU15" s="5"/>
    </row>
    <row r="16" spans="1:47" ht="12.75" customHeight="1" x14ac:dyDescent="0.2">
      <c r="A16" s="14" t="s">
        <v>2</v>
      </c>
      <c r="C16" s="13"/>
      <c r="E16" s="4"/>
      <c r="G16" s="3"/>
      <c r="I16" s="4"/>
      <c r="J16" s="4"/>
      <c r="O16" s="102"/>
      <c r="AU16" s="5"/>
    </row>
    <row r="17" spans="1:49" ht="6" customHeight="1" x14ac:dyDescent="0.2">
      <c r="A17" s="9"/>
      <c r="C17" s="13"/>
      <c r="E17" s="4"/>
      <c r="G17" s="3"/>
      <c r="I17" s="4"/>
      <c r="J17" s="4"/>
      <c r="O17" s="102"/>
      <c r="AU17" s="83"/>
    </row>
    <row r="18" spans="1:49" ht="13.5" x14ac:dyDescent="0.2">
      <c r="A18" s="22" t="s">
        <v>3</v>
      </c>
      <c r="C18" s="15">
        <v>1072.3510000000001</v>
      </c>
      <c r="E18" s="15">
        <f>1444.627+14.437</f>
        <v>1459.0639999999999</v>
      </c>
      <c r="G18" s="15">
        <f>1607.6+10.173</f>
        <v>1617.7729999999999</v>
      </c>
      <c r="I18" s="15">
        <f>1625.182+113.847+13.496+1.5</f>
        <v>1754.0250000000001</v>
      </c>
      <c r="J18" s="15"/>
      <c r="K18" s="27">
        <f>1747.991+108.82+1.5+37.536</f>
        <v>1895.847</v>
      </c>
      <c r="L18" s="27"/>
      <c r="M18" s="27">
        <f>1762.411+81.087+1.5+20.514</f>
        <v>1865.5119999999999</v>
      </c>
      <c r="N18" s="27"/>
      <c r="O18" s="103">
        <f>1794.3+100.9+1.5+99.5</f>
        <v>1996.2</v>
      </c>
      <c r="P18" s="27"/>
      <c r="Q18" s="27">
        <f>2085.9+91.8+112.9</f>
        <v>2290.6000000000004</v>
      </c>
      <c r="S18" s="54">
        <f>Data!B29</f>
        <v>2856.5250000000001</v>
      </c>
      <c r="U18" s="54">
        <f>Data!B59</f>
        <v>4650.9790000000003</v>
      </c>
      <c r="W18" s="54">
        <f>Data!B84</f>
        <v>5470.857</v>
      </c>
      <c r="X18" s="54"/>
      <c r="Y18" s="54">
        <f>Data!B107</f>
        <v>5047.0060000000003</v>
      </c>
      <c r="Z18" s="54"/>
      <c r="AA18" s="54">
        <f>Data!B133</f>
        <v>5105.0150000000003</v>
      </c>
      <c r="AC18" s="54">
        <f>Data!B146</f>
        <v>5123.3710000000001</v>
      </c>
      <c r="AD18" s="54"/>
      <c r="AE18" s="15">
        <f>Data!B163</f>
        <v>5158.2939999999999</v>
      </c>
      <c r="AF18" s="54"/>
      <c r="AG18" s="54">
        <f>Data!B177</f>
        <v>5041.6629999999996</v>
      </c>
      <c r="AH18" s="54"/>
      <c r="AI18" s="54">
        <f>Data!B192</f>
        <v>5304.1779999999999</v>
      </c>
      <c r="AJ18" s="54"/>
      <c r="AK18" s="54">
        <f>Data!B206</f>
        <v>5146.3630000000003</v>
      </c>
      <c r="AL18" s="54"/>
      <c r="AM18" s="54">
        <f>Data!B220</f>
        <v>5124.3919999999998</v>
      </c>
      <c r="AN18" s="54"/>
      <c r="AO18" s="54">
        <f>Data!B234</f>
        <v>5556.5360000000001</v>
      </c>
      <c r="AP18" s="166" t="s">
        <v>81</v>
      </c>
      <c r="AQ18" s="168">
        <v>5813.2629999999999</v>
      </c>
      <c r="AR18" s="166" t="s">
        <v>81</v>
      </c>
      <c r="AS18" s="54">
        <v>7833.3</v>
      </c>
      <c r="AT18" s="166" t="s">
        <v>81</v>
      </c>
      <c r="AU18" s="84">
        <f>+(AS18-AG18)/AG18</f>
        <v>0.55371352666768903</v>
      </c>
      <c r="AW18" s="67"/>
    </row>
    <row r="19" spans="1:49" x14ac:dyDescent="0.2">
      <c r="A19" s="22" t="s">
        <v>4</v>
      </c>
      <c r="C19" s="13">
        <f>1292.103+19.265+73.053+138.039+7.5+18.718+51.012+7.696</f>
        <v>1607.3860000000002</v>
      </c>
      <c r="E19" s="13">
        <f>1472.599+8.291+30.267+3.291+7.5+99.442+5+23.099+101.519+189.215</f>
        <v>1940.2229999999997</v>
      </c>
      <c r="G19" s="13">
        <f>1510.504+3.508+10+7.5+63.104+96.933+273.196+29.115+51.925+80.062+3.965</f>
        <v>2129.8119999999999</v>
      </c>
      <c r="I19" s="13">
        <f>1492.213+18+22.5+1.75+46.952+61.208+146.623+262.489+19.896+63.588+101.471+53.574</f>
        <v>2290.2640000000006</v>
      </c>
      <c r="J19" s="13"/>
      <c r="K19" s="27">
        <f>1611.985+11.5+20+2.5+4+32.367+59.376+132.292+368.386+27.501+51.439+87.727+67.032</f>
        <v>2476.105</v>
      </c>
      <c r="L19" s="27"/>
      <c r="M19" s="27">
        <f>2132.666+12.5+5+1.5+28.045+30.51+30.51+137.092+269.513+22.113+163.103+3.63+35.995+43.127+285.315+84.659</f>
        <v>3285.2780000000007</v>
      </c>
      <c r="N19" s="27"/>
      <c r="O19" s="103">
        <f>2314.7+190.8+25+5+11+39.9+54.9+54.9+137.6+249.4+14.6+41.2+290.2+111.9</f>
        <v>3541.1</v>
      </c>
      <c r="P19" s="27"/>
      <c r="Q19" s="27">
        <f>2449.2+21.8+11.5+16.3+44.8+36.4+36.4+153.1+290.5+35+302.6+138.5</f>
        <v>3536.1000000000004</v>
      </c>
      <c r="S19" s="54">
        <f>Data!C37</f>
        <v>4089.107</v>
      </c>
      <c r="U19" s="54">
        <f>Data!C59</f>
        <v>4285.4830000000002</v>
      </c>
      <c r="W19" s="54">
        <f>Data!C84</f>
        <v>3930.59</v>
      </c>
      <c r="X19" s="54"/>
      <c r="Y19" s="54">
        <f>Data!C107</f>
        <v>4418.951</v>
      </c>
      <c r="Z19" s="54"/>
      <c r="AA19" s="54">
        <f>Data!C133</f>
        <v>3227.9229999999998</v>
      </c>
      <c r="AC19" s="54">
        <f>Data!C148</f>
        <v>3575.172</v>
      </c>
      <c r="AD19" s="54"/>
      <c r="AE19" s="54">
        <f>Data!C163</f>
        <v>3678.79</v>
      </c>
      <c r="AF19" s="54"/>
      <c r="AG19" s="54">
        <f>Data!C177</f>
        <v>3167.748</v>
      </c>
      <c r="AH19" s="54"/>
      <c r="AI19" s="54">
        <f>Data!C192</f>
        <v>3526.7249999999999</v>
      </c>
      <c r="AJ19" s="54"/>
      <c r="AK19" s="54">
        <f>Data!C206</f>
        <v>3855.9989999999998</v>
      </c>
      <c r="AL19" s="54"/>
      <c r="AM19" s="54">
        <f>Data!C220</f>
        <v>3809.3470000000002</v>
      </c>
      <c r="AN19" s="54"/>
      <c r="AO19" s="54">
        <f>Data!C235</f>
        <v>5136.1170000000002</v>
      </c>
      <c r="AP19" s="54"/>
      <c r="AQ19" s="54">
        <v>6040.4930000000004</v>
      </c>
      <c r="AR19" s="54"/>
      <c r="AS19" s="54">
        <v>5781.3</v>
      </c>
      <c r="AU19" s="84">
        <f t="shared" ref="AU19:AU20" si="0">+(AS19-AG19)/AG19</f>
        <v>0.82505047750010418</v>
      </c>
      <c r="AW19" s="67"/>
    </row>
    <row r="20" spans="1:49" x14ac:dyDescent="0.2">
      <c r="A20" s="22" t="s">
        <v>5</v>
      </c>
      <c r="C20" s="11">
        <f>508.018+0.37+58.321-25.713-0.37-0.37</f>
        <v>540.25599999999997</v>
      </c>
      <c r="E20" s="11">
        <f>1264.08+24.875-7.3</f>
        <v>1281.655</v>
      </c>
      <c r="G20" s="11">
        <f>1732.151+43.154</f>
        <v>1775.3050000000001</v>
      </c>
      <c r="I20" s="11">
        <f>26.451+2.176+29.435+(1920.472-558.568)+142.236</f>
        <v>1562.2019999999998</v>
      </c>
      <c r="J20" s="24"/>
      <c r="K20" s="28">
        <f>39.008+4.276+29.442+(2196.06-702.836)+158.657</f>
        <v>1724.6069999999997</v>
      </c>
      <c r="L20" s="32"/>
      <c r="M20" s="28">
        <f>42.42+1.303+44.117+1331.945+158.881</f>
        <v>1578.6659999999999</v>
      </c>
      <c r="N20" s="32"/>
      <c r="O20" s="104">
        <f>34.4+224.5+6.7+58.2+11.2+67.3+1531.8+275.2</f>
        <v>2209.2999999999997</v>
      </c>
      <c r="P20" s="32"/>
      <c r="Q20" s="28">
        <f>4+100.1+335.3+9.6+41.4+2.4+76.2+1813+406</f>
        <v>2788</v>
      </c>
      <c r="S20" s="56">
        <f>Data!D31</f>
        <v>3322.6089999999999</v>
      </c>
      <c r="U20" s="56">
        <f>Data!D59</f>
        <v>3822.6950000000002</v>
      </c>
      <c r="W20" s="56">
        <f>Data!D84</f>
        <v>4847.5559999999996</v>
      </c>
      <c r="X20" s="93"/>
      <c r="Y20" s="56">
        <f>Data!D107</f>
        <v>4938.2020000000002</v>
      </c>
      <c r="Z20" s="93"/>
      <c r="AA20" s="56">
        <f>Data!D133</f>
        <v>6436.2749999999996</v>
      </c>
      <c r="AC20" s="56">
        <f>Data!D148</f>
        <v>7464.0889999999999</v>
      </c>
      <c r="AD20" s="93"/>
      <c r="AE20" s="56">
        <f>Data!D163</f>
        <v>8698.6090000000004</v>
      </c>
      <c r="AF20" s="93"/>
      <c r="AG20" s="56">
        <f>Data!D177</f>
        <v>9132.6949999999997</v>
      </c>
      <c r="AH20" s="93"/>
      <c r="AI20" s="56">
        <f>Data!D192</f>
        <v>9561.9269999999997</v>
      </c>
      <c r="AJ20" s="93"/>
      <c r="AK20" s="56">
        <f>Data!D206</f>
        <v>9731.7559999999994</v>
      </c>
      <c r="AL20" s="93"/>
      <c r="AM20" s="56">
        <f>Data!D220</f>
        <v>9892.2880000000005</v>
      </c>
      <c r="AN20" s="93"/>
      <c r="AO20" s="56">
        <f>Data!D234</f>
        <v>9724.7180000000008</v>
      </c>
      <c r="AP20" s="93"/>
      <c r="AQ20" s="56">
        <v>9528.1740000000009</v>
      </c>
      <c r="AR20" s="93"/>
      <c r="AS20" s="56">
        <v>8781.2999999999993</v>
      </c>
      <c r="AU20" s="84">
        <f t="shared" si="0"/>
        <v>-3.8476594258321388E-2</v>
      </c>
      <c r="AW20" s="67"/>
    </row>
    <row r="21" spans="1:49" ht="6" customHeight="1" x14ac:dyDescent="0.2">
      <c r="A21" s="22"/>
      <c r="C21" s="13"/>
      <c r="E21" s="13"/>
      <c r="G21" s="13"/>
      <c r="I21" s="13"/>
      <c r="J21" s="13"/>
      <c r="O21" s="102"/>
      <c r="S21" s="54"/>
      <c r="U21" s="54"/>
      <c r="W21" s="54"/>
      <c r="X21" s="54"/>
      <c r="Y21" s="54"/>
      <c r="Z21" s="54"/>
      <c r="AA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U21" s="137"/>
    </row>
    <row r="22" spans="1:49" x14ac:dyDescent="0.2">
      <c r="A22" s="22" t="s">
        <v>6</v>
      </c>
      <c r="C22" s="15">
        <f>+C18+C19+C20</f>
        <v>3219.9929999999999</v>
      </c>
      <c r="E22" s="15">
        <f>+E18+E19+E20</f>
        <v>4680.9419999999991</v>
      </c>
      <c r="G22" s="15">
        <f>+G18+G19+G20</f>
        <v>5522.89</v>
      </c>
      <c r="I22" s="15">
        <f>+I18+I19+I20</f>
        <v>5606.491</v>
      </c>
      <c r="J22" s="15"/>
      <c r="K22" s="27">
        <f>+K18+K19+K20</f>
        <v>6096.5590000000002</v>
      </c>
      <c r="L22" s="27"/>
      <c r="M22" s="27">
        <f>+M18+M19+M20</f>
        <v>6729.456000000001</v>
      </c>
      <c r="N22" s="27"/>
      <c r="O22" s="103">
        <f>O18+O19+O20</f>
        <v>7746.6</v>
      </c>
      <c r="P22" s="27"/>
      <c r="Q22" s="27">
        <f>Q18+Q19+Q20</f>
        <v>8614.7000000000007</v>
      </c>
      <c r="S22" s="54">
        <f>S18+S19+S20</f>
        <v>10268.241</v>
      </c>
      <c r="U22" s="54">
        <f>U18+U19+U20</f>
        <v>12759.156999999999</v>
      </c>
      <c r="W22" s="54">
        <f>W18+W19+W20</f>
        <v>14249.003000000001</v>
      </c>
      <c r="X22" s="54"/>
      <c r="Y22" s="54">
        <f>Y18+Y19+Y20</f>
        <v>14404.159</v>
      </c>
      <c r="Z22" s="54"/>
      <c r="AA22" s="54">
        <f>AA18+AA19+AA20</f>
        <v>14769.213</v>
      </c>
      <c r="AC22" s="54">
        <f>AC18+AC19+AC20</f>
        <v>16162.632</v>
      </c>
      <c r="AD22" s="54"/>
      <c r="AE22" s="54">
        <f>AE18+AE19+AE20</f>
        <v>17535.692999999999</v>
      </c>
      <c r="AF22" s="54"/>
      <c r="AG22" s="54">
        <f>AG18+AG19+AG20</f>
        <v>17342.106</v>
      </c>
      <c r="AH22" s="54"/>
      <c r="AI22" s="54">
        <f>AI18+AI19+AI20</f>
        <v>18392.830000000002</v>
      </c>
      <c r="AJ22" s="54"/>
      <c r="AK22" s="54">
        <f>AK18+AK19+AK20</f>
        <v>18734.118000000002</v>
      </c>
      <c r="AL22" s="54"/>
      <c r="AM22" s="54">
        <f>AM18+AM19+AM20</f>
        <v>18826.027000000002</v>
      </c>
      <c r="AN22" s="54"/>
      <c r="AO22" s="54">
        <f>AO18+AO19+AO20</f>
        <v>20417.370999999999</v>
      </c>
      <c r="AP22" s="54"/>
      <c r="AQ22" s="54">
        <v>21381.93</v>
      </c>
      <c r="AR22" s="54"/>
      <c r="AS22" s="54">
        <f>AS18+AS19+AS20</f>
        <v>22395.9</v>
      </c>
      <c r="AU22" s="84">
        <f>+(AS22-AEG2)/AG22</f>
        <v>1.2914175475573728</v>
      </c>
      <c r="AW22" s="67"/>
    </row>
    <row r="23" spans="1:49" x14ac:dyDescent="0.2">
      <c r="A23" s="22"/>
      <c r="C23" s="13"/>
      <c r="E23" s="13"/>
      <c r="G23" s="13"/>
      <c r="I23" s="13"/>
      <c r="J23" s="13"/>
      <c r="O23" s="102"/>
      <c r="S23" s="54"/>
      <c r="U23" s="54"/>
      <c r="W23" s="54"/>
      <c r="X23" s="54"/>
      <c r="Y23" s="54"/>
      <c r="Z23" s="54"/>
      <c r="AA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U23" s="84"/>
    </row>
    <row r="24" spans="1:49" x14ac:dyDescent="0.2">
      <c r="A24" s="23"/>
      <c r="C24" s="13"/>
      <c r="E24" s="13"/>
      <c r="G24" s="13"/>
      <c r="I24" s="13"/>
      <c r="J24" s="13"/>
      <c r="O24" s="102"/>
      <c r="S24" s="54"/>
      <c r="U24" s="54"/>
      <c r="W24" s="54"/>
      <c r="X24" s="54"/>
      <c r="Y24" s="54"/>
      <c r="Z24" s="54"/>
      <c r="AA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U24" s="84"/>
    </row>
    <row r="25" spans="1:49" x14ac:dyDescent="0.2">
      <c r="A25" s="22" t="s">
        <v>7</v>
      </c>
      <c r="C25" s="15">
        <v>3334.8789999999999</v>
      </c>
      <c r="E25" s="15">
        <f>3562.564+4</f>
        <v>3566.5639999999999</v>
      </c>
      <c r="G25" s="15">
        <v>4926.799</v>
      </c>
      <c r="I25" s="15">
        <f>26.085+6245.881+0</f>
        <v>6271.9660000000003</v>
      </c>
      <c r="J25" s="15"/>
      <c r="K25" s="27">
        <f>26.541+6842.531</f>
        <v>6869.0720000000001</v>
      </c>
      <c r="L25" s="27"/>
      <c r="M25" s="27">
        <f>39.65+7713.878+101.95</f>
        <v>7855.4779999999992</v>
      </c>
      <c r="N25" s="27"/>
      <c r="O25" s="103">
        <f>23.7+8052.6+197.4</f>
        <v>8273.7000000000007</v>
      </c>
      <c r="P25" s="27"/>
      <c r="Q25" s="27">
        <f>24.6+8948.3+436.3</f>
        <v>9409.1999999999989</v>
      </c>
      <c r="S25" s="54">
        <f>Data!E27</f>
        <v>11831.777</v>
      </c>
      <c r="U25" s="54">
        <f>Data!E59</f>
        <v>14424.632</v>
      </c>
      <c r="W25" s="54">
        <f>Data!E84</f>
        <v>15955.168</v>
      </c>
      <c r="X25" s="54"/>
      <c r="Y25" s="54">
        <f>Data!E107</f>
        <v>16448.624</v>
      </c>
      <c r="Z25" s="54"/>
      <c r="AA25" s="54">
        <f>Data!E133</f>
        <v>16285.5</v>
      </c>
      <c r="AC25" s="54">
        <f>Data!E148</f>
        <v>15838.602000000001</v>
      </c>
      <c r="AD25" s="54"/>
      <c r="AE25" s="54">
        <f>Data!E163</f>
        <v>14889.03</v>
      </c>
      <c r="AF25" s="54"/>
      <c r="AG25" s="54">
        <f>Data!E177</f>
        <v>14147.387000000001</v>
      </c>
      <c r="AH25" s="54"/>
      <c r="AI25" s="54">
        <f>Data!E192</f>
        <v>14265.39</v>
      </c>
      <c r="AJ25" s="54"/>
      <c r="AK25" s="54">
        <f>Data!E206</f>
        <v>13252.843999999999</v>
      </c>
      <c r="AL25" s="54"/>
      <c r="AM25" s="54">
        <f>Data!E220</f>
        <v>12215.788</v>
      </c>
      <c r="AN25" s="54"/>
      <c r="AO25" s="54">
        <f>Data!E234</f>
        <v>11374.837</v>
      </c>
      <c r="AP25" s="54"/>
      <c r="AQ25" s="54">
        <v>10431.249</v>
      </c>
      <c r="AR25" s="54"/>
      <c r="AS25" s="54">
        <v>9637.1</v>
      </c>
      <c r="AU25" s="84">
        <f>+(AS25-AG25)/AG25</f>
        <v>-0.31880707016779847</v>
      </c>
      <c r="AW25" s="67"/>
    </row>
    <row r="26" spans="1:49" x14ac:dyDescent="0.2">
      <c r="A26" s="23"/>
      <c r="C26" s="13"/>
      <c r="E26" s="13"/>
      <c r="G26" s="13"/>
      <c r="I26" s="13"/>
      <c r="J26" s="13"/>
      <c r="K26" s="27"/>
      <c r="L26" s="27"/>
      <c r="M26" s="27"/>
      <c r="N26" s="27"/>
      <c r="O26" s="103"/>
      <c r="P26" s="27"/>
      <c r="Q26" s="27"/>
      <c r="S26" s="54"/>
      <c r="U26" s="54"/>
      <c r="W26" s="54"/>
      <c r="X26" s="54"/>
      <c r="Y26" s="54"/>
      <c r="Z26" s="54"/>
      <c r="AA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U26" s="84"/>
    </row>
    <row r="27" spans="1:49" x14ac:dyDescent="0.2">
      <c r="A27" s="22" t="s">
        <v>8</v>
      </c>
      <c r="C27" s="15">
        <f>88.886+226.991+291.61</f>
        <v>607.48700000000008</v>
      </c>
      <c r="E27" s="15">
        <f>95.354+470.977+259.98</f>
        <v>826.31100000000004</v>
      </c>
      <c r="G27" s="21">
        <f>188.982+254.852+445.553</f>
        <v>889.38699999999994</v>
      </c>
      <c r="I27" s="15">
        <f>230.869+107.395+558.568</f>
        <v>896.83199999999999</v>
      </c>
      <c r="J27" s="15"/>
      <c r="K27" s="27">
        <f>168.453+253.798+702.836</f>
        <v>1125.087</v>
      </c>
      <c r="L27" s="27"/>
      <c r="M27" s="27">
        <f>138.822+250.162+754.583</f>
        <v>1143.567</v>
      </c>
      <c r="N27" s="27"/>
      <c r="O27" s="103">
        <f>101.5+158.9+850.9</f>
        <v>1111.3</v>
      </c>
      <c r="P27" s="27"/>
      <c r="Q27" s="27">
        <f>192+163.2+886.1</f>
        <v>1241.3</v>
      </c>
      <c r="S27" s="54">
        <f>Data!F26</f>
        <v>1239.03</v>
      </c>
      <c r="U27" s="54">
        <f>Data!F59</f>
        <v>1380.1310000000001</v>
      </c>
      <c r="W27" s="54">
        <f>Data!F84</f>
        <v>1429.5930000000001</v>
      </c>
      <c r="X27" s="54"/>
      <c r="Y27" s="54">
        <f>Data!F107</f>
        <v>1405.068</v>
      </c>
      <c r="Z27" s="54"/>
      <c r="AA27" s="54">
        <f>Data!F133</f>
        <v>1346.6790000000001</v>
      </c>
      <c r="AC27" s="54">
        <f>Data!F148</f>
        <v>1384.039</v>
      </c>
      <c r="AD27" s="54"/>
      <c r="AE27" s="54">
        <f>Data!F163</f>
        <v>1446.3620000000001</v>
      </c>
      <c r="AF27" s="54"/>
      <c r="AG27" s="136">
        <f>Data!F177</f>
        <v>1440.69</v>
      </c>
      <c r="AH27" s="54"/>
      <c r="AI27" s="54">
        <f>Data!F192</f>
        <v>1381.6189999999999</v>
      </c>
      <c r="AJ27" s="54"/>
      <c r="AK27" s="54">
        <f>Data!F206</f>
        <v>1407.114</v>
      </c>
      <c r="AL27" s="54"/>
      <c r="AM27" s="54">
        <f>Data!F220</f>
        <v>1430.1790000000001</v>
      </c>
      <c r="AN27" s="54"/>
      <c r="AO27" s="54">
        <f>Data!F234</f>
        <v>1349.636</v>
      </c>
      <c r="AP27" s="54"/>
      <c r="AQ27" s="54">
        <v>1290.6669999999999</v>
      </c>
      <c r="AR27" s="54"/>
      <c r="AS27" s="54">
        <v>1535.1</v>
      </c>
      <c r="AU27" s="84">
        <f>+(AS27-AG27)/AG27</f>
        <v>6.5531099681402555E-2</v>
      </c>
      <c r="AW27" s="67"/>
    </row>
    <row r="28" spans="1:49" x14ac:dyDescent="0.2">
      <c r="A28" s="23"/>
      <c r="C28" s="13"/>
      <c r="E28" s="13"/>
      <c r="G28" s="13"/>
      <c r="I28" s="13"/>
      <c r="J28" s="13"/>
      <c r="O28" s="102"/>
      <c r="S28" s="54"/>
      <c r="U28" s="54"/>
      <c r="W28" s="54"/>
      <c r="X28" s="54"/>
      <c r="Y28" s="54"/>
      <c r="Z28" s="54"/>
      <c r="AA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U28" s="84"/>
    </row>
    <row r="29" spans="1:49" ht="13.5" thickBot="1" x14ac:dyDescent="0.25">
      <c r="A29" s="9" t="s">
        <v>9</v>
      </c>
      <c r="C29" s="16">
        <f>+C27+C25+C22</f>
        <v>7162.3590000000004</v>
      </c>
      <c r="E29" s="16">
        <f>+E27+E25+E22</f>
        <v>9073.8169999999991</v>
      </c>
      <c r="G29" s="16">
        <f>+G27+G25+G22</f>
        <v>11339.076000000001</v>
      </c>
      <c r="I29" s="16">
        <f>+I27+I25+I22</f>
        <v>12775.289000000001</v>
      </c>
      <c r="J29" s="25"/>
      <c r="K29" s="29">
        <f>+K27+K25+K22</f>
        <v>14090.718000000001</v>
      </c>
      <c r="L29" s="32"/>
      <c r="M29" s="29">
        <f>+M27+M25+M22</f>
        <v>15728.501</v>
      </c>
      <c r="N29" s="32"/>
      <c r="O29" s="105">
        <f>O22+O25+O27</f>
        <v>17131.600000000002</v>
      </c>
      <c r="P29" s="32"/>
      <c r="Q29" s="29">
        <f>Q22+Q25+Q27</f>
        <v>19265.2</v>
      </c>
      <c r="S29" s="55">
        <f>S27+S25+S22</f>
        <v>23339.048000000003</v>
      </c>
      <c r="U29" s="55">
        <f>U27+U25+U22</f>
        <v>28563.919999999998</v>
      </c>
      <c r="W29" s="55">
        <f>W27+W25+W22</f>
        <v>31633.763999999999</v>
      </c>
      <c r="X29" s="93"/>
      <c r="Y29" s="55">
        <f>Y27+Y25+Y22</f>
        <v>32257.850999999999</v>
      </c>
      <c r="Z29" s="93"/>
      <c r="AA29" s="55">
        <f>AA22+AA25+AA27</f>
        <v>32401.392</v>
      </c>
      <c r="AC29" s="55">
        <f>AC22+AC25+AC27</f>
        <v>33385.273000000001</v>
      </c>
      <c r="AD29" s="93"/>
      <c r="AE29" s="55">
        <f>AE22+AE25+AE27</f>
        <v>33871.084999999999</v>
      </c>
      <c r="AF29" s="93"/>
      <c r="AG29" s="55">
        <f>AG22+AG25+AG27</f>
        <v>32930.183000000005</v>
      </c>
      <c r="AH29" s="93"/>
      <c r="AI29" s="55">
        <f>AI22+AI25+AI27</f>
        <v>34039.839</v>
      </c>
      <c r="AJ29" s="93"/>
      <c r="AK29" s="55">
        <f>AK22+AK25+AK27</f>
        <v>33394.076000000001</v>
      </c>
      <c r="AL29" s="93"/>
      <c r="AM29" s="55">
        <f>AM22+AM25+AM27</f>
        <v>32471.994000000002</v>
      </c>
      <c r="AN29" s="93"/>
      <c r="AO29" s="55">
        <f>AO22+AO25+AO27</f>
        <v>33141.843999999997</v>
      </c>
      <c r="AP29" s="93"/>
      <c r="AQ29" s="55">
        <v>33103.845999999998</v>
      </c>
      <c r="AR29" s="93"/>
      <c r="AS29" s="55">
        <f>AS22+AS25+AS27</f>
        <v>33568.1</v>
      </c>
      <c r="AU29" s="86">
        <f>+(AS29-AG29)/AG29</f>
        <v>1.9371802458552807E-2</v>
      </c>
      <c r="AW29" s="67"/>
    </row>
    <row r="30" spans="1:49" ht="13.5" thickTop="1" x14ac:dyDescent="0.2">
      <c r="A30" s="9"/>
      <c r="E30" s="10"/>
      <c r="G30" s="10"/>
      <c r="I30" s="10"/>
      <c r="J30" s="10"/>
      <c r="O30" s="102"/>
      <c r="W30" s="54"/>
      <c r="X30" s="54"/>
      <c r="Y30" s="54"/>
      <c r="Z30" s="54"/>
      <c r="AA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U30" s="87"/>
      <c r="AW30" s="67"/>
    </row>
    <row r="31" spans="1:49" x14ac:dyDescent="0.2">
      <c r="A31" s="9"/>
      <c r="E31" s="10"/>
      <c r="G31" s="10"/>
      <c r="I31" s="10"/>
      <c r="J31" s="10"/>
      <c r="O31" s="102"/>
      <c r="W31" s="54"/>
      <c r="X31" s="54"/>
      <c r="Y31" s="54"/>
      <c r="Z31" s="54"/>
      <c r="AA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U31" s="87"/>
    </row>
    <row r="32" spans="1:49" x14ac:dyDescent="0.2">
      <c r="A32" s="9"/>
      <c r="E32" s="4"/>
      <c r="I32" s="4"/>
      <c r="J32" s="4"/>
      <c r="O32" s="102"/>
      <c r="W32" s="54"/>
      <c r="X32" s="54"/>
      <c r="Y32" s="54"/>
      <c r="Z32" s="54"/>
      <c r="AA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U32" s="88"/>
      <c r="AW32" s="67"/>
    </row>
    <row r="33" spans="1:49" ht="13.5" x14ac:dyDescent="0.2">
      <c r="A33" s="9" t="s">
        <v>20</v>
      </c>
      <c r="C33" s="17">
        <f>95.75*30</f>
        <v>2872.5</v>
      </c>
      <c r="D33" s="17"/>
      <c r="E33" s="17">
        <f>99.5*30</f>
        <v>2985</v>
      </c>
      <c r="F33" s="17"/>
      <c r="G33" s="17">
        <f>109.5*30</f>
        <v>3285</v>
      </c>
      <c r="H33" s="17"/>
      <c r="I33" s="17">
        <f>115*30</f>
        <v>3450</v>
      </c>
      <c r="J33" s="17"/>
      <c r="K33" s="30">
        <f>133.5*30</f>
        <v>4005</v>
      </c>
      <c r="L33" s="44" t="s">
        <v>18</v>
      </c>
      <c r="M33" s="30">
        <v>4575</v>
      </c>
      <c r="N33" s="45" t="s">
        <v>18</v>
      </c>
      <c r="O33" s="106">
        <f>186*30</f>
        <v>5580</v>
      </c>
      <c r="P33" s="109" t="s">
        <v>18</v>
      </c>
      <c r="Q33" s="30">
        <f>212*30</f>
        <v>6360</v>
      </c>
      <c r="R33" s="100" t="s">
        <v>18</v>
      </c>
      <c r="S33" s="43">
        <f>30*240.5</f>
        <v>7215</v>
      </c>
      <c r="T33" s="100" t="s">
        <v>18</v>
      </c>
      <c r="U33" s="43">
        <f>30*246.75</f>
        <v>7402.5</v>
      </c>
      <c r="V33" s="100" t="s">
        <v>18</v>
      </c>
      <c r="W33" s="54">
        <f>270.25*30</f>
        <v>8107.5</v>
      </c>
      <c r="X33" s="100" t="s">
        <v>18</v>
      </c>
      <c r="Y33" s="54">
        <f>289*30</f>
        <v>8670</v>
      </c>
      <c r="Z33" s="110" t="s">
        <v>18</v>
      </c>
      <c r="AA33" s="54">
        <f>303*30</f>
        <v>9090</v>
      </c>
      <c r="AB33" s="110" t="s">
        <v>18</v>
      </c>
      <c r="AC33" s="54">
        <f>308.25*30</f>
        <v>9247.5</v>
      </c>
      <c r="AD33" s="100"/>
      <c r="AE33" s="54">
        <f>313.5*30</f>
        <v>9405</v>
      </c>
      <c r="AF33" s="100" t="s">
        <v>18</v>
      </c>
      <c r="AG33" s="54">
        <f>313.5*30</f>
        <v>9405</v>
      </c>
      <c r="AH33" s="100" t="s">
        <v>18</v>
      </c>
      <c r="AI33" s="136">
        <f>313.5*30</f>
        <v>9405</v>
      </c>
      <c r="AJ33" s="100" t="s">
        <v>21</v>
      </c>
      <c r="AK33" s="136">
        <f>313.5*30</f>
        <v>9405</v>
      </c>
      <c r="AL33" s="100" t="s">
        <v>22</v>
      </c>
      <c r="AM33" s="136">
        <f>313.5*30</f>
        <v>9405</v>
      </c>
      <c r="AN33" s="100" t="s">
        <v>31</v>
      </c>
      <c r="AO33" s="136">
        <f>313.5*30</f>
        <v>9405</v>
      </c>
      <c r="AP33" s="100" t="s">
        <v>32</v>
      </c>
      <c r="AQ33" s="169">
        <v>9502.5</v>
      </c>
      <c r="AR33" s="100" t="s">
        <v>44</v>
      </c>
      <c r="AS33" s="136">
        <f>AQ33</f>
        <v>9502.5</v>
      </c>
      <c r="AT33" s="100" t="s">
        <v>67</v>
      </c>
      <c r="AU33" s="84">
        <f>+(AS33-AG33)/AG33</f>
        <v>1.036682615629984E-2</v>
      </c>
      <c r="AW33" s="67"/>
    </row>
    <row r="34" spans="1:49" ht="13.5" x14ac:dyDescent="0.2">
      <c r="A34" s="46" t="s">
        <v>66</v>
      </c>
      <c r="C34" s="19">
        <f>112+112+24+24</f>
        <v>272</v>
      </c>
      <c r="D34" s="20"/>
      <c r="E34" s="19">
        <f>138+138+34+34</f>
        <v>344</v>
      </c>
      <c r="F34" s="20"/>
      <c r="G34" s="19">
        <f>177+177+44+44</f>
        <v>442</v>
      </c>
      <c r="H34" s="20"/>
      <c r="I34" s="19">
        <f>192+192+44+44</f>
        <v>472</v>
      </c>
      <c r="J34" s="26"/>
      <c r="K34" s="31">
        <v>694</v>
      </c>
      <c r="L34" s="33"/>
      <c r="M34" s="31">
        <v>800</v>
      </c>
      <c r="N34" s="33"/>
      <c r="O34" s="107">
        <v>832</v>
      </c>
      <c r="P34" s="33"/>
      <c r="Q34" s="31">
        <v>1052</v>
      </c>
      <c r="S34" s="19">
        <v>1120</v>
      </c>
      <c r="U34" s="19">
        <v>1173</v>
      </c>
      <c r="W34" s="56">
        <v>1249</v>
      </c>
      <c r="X34" s="93"/>
      <c r="Y34" s="56">
        <v>1273</v>
      </c>
      <c r="Z34" s="93"/>
      <c r="AA34" s="56">
        <v>1301</v>
      </c>
      <c r="AC34" s="56">
        <f>680+584+80</f>
        <v>1344</v>
      </c>
      <c r="AD34" s="93"/>
      <c r="AE34" s="56">
        <v>1416</v>
      </c>
      <c r="AF34" s="93"/>
      <c r="AG34" s="138">
        <v>1456</v>
      </c>
      <c r="AH34" s="154"/>
      <c r="AI34" s="138">
        <v>1456</v>
      </c>
      <c r="AJ34" s="154"/>
      <c r="AK34" s="138">
        <v>1456</v>
      </c>
      <c r="AL34" s="154"/>
      <c r="AM34" s="138">
        <v>1856</v>
      </c>
      <c r="AN34" s="154"/>
      <c r="AO34" s="138">
        <v>1856</v>
      </c>
      <c r="AP34" s="154"/>
      <c r="AQ34" s="138">
        <v>1856</v>
      </c>
      <c r="AR34" s="154"/>
      <c r="AS34" s="138">
        <v>1856</v>
      </c>
      <c r="AU34" s="85">
        <f>+(AS34-AG34)/AG34</f>
        <v>0.27472527472527475</v>
      </c>
      <c r="AW34" s="67"/>
    </row>
    <row r="35" spans="1:49" x14ac:dyDescent="0.2">
      <c r="A35" s="9" t="s">
        <v>15</v>
      </c>
      <c r="C35" s="17">
        <f>+C33+C34</f>
        <v>3144.5</v>
      </c>
      <c r="D35" s="17"/>
      <c r="E35" s="17">
        <f>+E33+E34</f>
        <v>3329</v>
      </c>
      <c r="F35" s="17"/>
      <c r="G35" s="17">
        <f>+G33+G34</f>
        <v>3727</v>
      </c>
      <c r="H35" s="17"/>
      <c r="I35" s="17">
        <f>+I33+I34</f>
        <v>3922</v>
      </c>
      <c r="J35" s="17"/>
      <c r="K35" s="30">
        <f>SUM(K33:K34)</f>
        <v>4699</v>
      </c>
      <c r="L35" s="30"/>
      <c r="M35" s="30">
        <f>SUM(M33:M34)</f>
        <v>5375</v>
      </c>
      <c r="N35" s="30"/>
      <c r="O35" s="106">
        <f>SUM(O33:O34)</f>
        <v>6412</v>
      </c>
      <c r="P35" s="30"/>
      <c r="Q35" s="30">
        <f>SUM(Q33:Q34)</f>
        <v>7412</v>
      </c>
      <c r="S35" s="17">
        <f>SUM(S33:S34)</f>
        <v>8335</v>
      </c>
      <c r="U35" s="17">
        <f>SUM(U33:U34)</f>
        <v>8575.5</v>
      </c>
      <c r="W35" s="54">
        <f>SUM(W33:W34)</f>
        <v>9356.5</v>
      </c>
      <c r="X35" s="54"/>
      <c r="Y35" s="54">
        <f>SUM(Y33:Y34)</f>
        <v>9943</v>
      </c>
      <c r="Z35" s="54"/>
      <c r="AA35" s="54">
        <f>SUM(AA33:AA34)</f>
        <v>10391</v>
      </c>
      <c r="AC35" s="54">
        <f>SUM(AC33:AC34)</f>
        <v>10591.5</v>
      </c>
      <c r="AD35" s="54"/>
      <c r="AE35" s="54">
        <f>SUM(AE33:AE34)</f>
        <v>10821</v>
      </c>
      <c r="AF35" s="54"/>
      <c r="AG35" s="54">
        <f>SUM(AG33:AG34)</f>
        <v>10861</v>
      </c>
      <c r="AH35" s="54"/>
      <c r="AI35" s="136">
        <f>SUM(AI33:AI34)</f>
        <v>10861</v>
      </c>
      <c r="AJ35" s="54"/>
      <c r="AK35" s="136">
        <f>SUM(AK33:AK34)</f>
        <v>10861</v>
      </c>
      <c r="AL35" s="136"/>
      <c r="AM35" s="136">
        <f>SUM(AM33:AM34)</f>
        <v>11261</v>
      </c>
      <c r="AN35" s="136"/>
      <c r="AO35" s="136">
        <f>SUM(AO33:AO34)</f>
        <v>11261</v>
      </c>
      <c r="AP35" s="136"/>
      <c r="AQ35" s="136">
        <v>11358.5</v>
      </c>
      <c r="AR35" s="136"/>
      <c r="AS35" s="136">
        <f>SUM(AS33:AS34)</f>
        <v>11358.5</v>
      </c>
      <c r="AU35" s="84">
        <f>+(AS35-AG35)/AG35</f>
        <v>4.5806095203019981E-2</v>
      </c>
      <c r="AW35" s="67"/>
    </row>
    <row r="36" spans="1:49" x14ac:dyDescent="0.2">
      <c r="A36" s="9"/>
      <c r="C36" s="17"/>
      <c r="D36" s="17"/>
      <c r="E36" s="17"/>
      <c r="F36" s="17"/>
      <c r="G36" s="17"/>
      <c r="H36" s="17"/>
      <c r="I36" s="17"/>
      <c r="J36" s="17"/>
      <c r="AU36" s="89"/>
    </row>
    <row r="37" spans="1:49" x14ac:dyDescent="0.2">
      <c r="A37" s="9"/>
      <c r="C37" s="17"/>
      <c r="D37" s="17"/>
      <c r="E37" s="17"/>
      <c r="F37" s="17"/>
      <c r="G37" s="17"/>
      <c r="H37" s="17"/>
      <c r="I37" s="17"/>
      <c r="J37" s="17"/>
      <c r="AU37" s="18"/>
    </row>
    <row r="38" spans="1:49" x14ac:dyDescent="0.2">
      <c r="A38" s="9"/>
      <c r="C38" s="17"/>
      <c r="D38" s="17"/>
      <c r="E38" s="17"/>
      <c r="F38" s="17"/>
      <c r="G38" s="17"/>
      <c r="H38" s="17"/>
      <c r="I38" s="17"/>
      <c r="J38" s="17"/>
      <c r="AU38" s="18"/>
    </row>
    <row r="39" spans="1:49" x14ac:dyDescent="0.2">
      <c r="A39" s="9"/>
      <c r="C39" s="17"/>
      <c r="D39" s="17"/>
      <c r="E39" s="17"/>
      <c r="F39" s="17"/>
      <c r="G39" s="17"/>
      <c r="H39" s="17"/>
      <c r="I39" s="17"/>
      <c r="J39" s="17"/>
      <c r="AU39" s="18"/>
    </row>
    <row r="40" spans="1:49" ht="15" customHeight="1" x14ac:dyDescent="0.2">
      <c r="A40" s="111" t="s">
        <v>24</v>
      </c>
      <c r="B40" s="112"/>
      <c r="C40" s="113"/>
      <c r="D40" s="112"/>
      <c r="E40" s="112"/>
      <c r="F40" s="112"/>
      <c r="G40" s="114"/>
      <c r="H40" s="112"/>
      <c r="I40" s="114"/>
      <c r="J40" s="114"/>
      <c r="K40" s="22"/>
      <c r="L40" s="22"/>
      <c r="M40" s="22"/>
      <c r="N40" s="22"/>
      <c r="O40" s="22"/>
      <c r="P40" s="22"/>
      <c r="Q40" s="22"/>
    </row>
    <row r="41" spans="1:49" s="36" customFormat="1" ht="15" customHeight="1" x14ac:dyDescent="0.2">
      <c r="A41" s="115" t="s">
        <v>80</v>
      </c>
      <c r="B41" s="115"/>
      <c r="C41" s="116"/>
      <c r="D41" s="115"/>
      <c r="E41" s="115"/>
      <c r="F41" s="115"/>
      <c r="G41" s="115"/>
      <c r="H41" s="115"/>
      <c r="I41" s="118"/>
      <c r="J41" s="118"/>
      <c r="K41" s="117"/>
      <c r="L41" s="117"/>
      <c r="M41" s="117"/>
      <c r="N41" s="117"/>
      <c r="O41" s="117"/>
      <c r="P41" s="117"/>
      <c r="Q41" s="117"/>
      <c r="AK41" s="115"/>
    </row>
    <row r="42" spans="1:49" s="36" customFormat="1" ht="15" customHeight="1" x14ac:dyDescent="0.2">
      <c r="A42" s="115" t="s">
        <v>82</v>
      </c>
      <c r="B42" s="115"/>
      <c r="C42" s="116"/>
      <c r="D42" s="115"/>
      <c r="E42" s="115"/>
      <c r="F42" s="115"/>
      <c r="G42" s="115"/>
      <c r="H42" s="115"/>
      <c r="I42" s="118"/>
      <c r="J42" s="118"/>
      <c r="K42" s="117"/>
      <c r="L42" s="117"/>
      <c r="M42" s="117"/>
      <c r="N42" s="117"/>
      <c r="O42" s="117"/>
      <c r="P42" s="117"/>
      <c r="Q42" s="117"/>
      <c r="AK42" s="115"/>
    </row>
    <row r="43" spans="1:49" s="36" customFormat="1" ht="15" customHeight="1" x14ac:dyDescent="0.2">
      <c r="A43" s="115" t="s">
        <v>83</v>
      </c>
      <c r="B43" s="115"/>
      <c r="C43" s="116"/>
      <c r="D43" s="115"/>
      <c r="E43" s="115"/>
      <c r="F43" s="115"/>
      <c r="G43" s="115"/>
      <c r="H43" s="115"/>
      <c r="I43" s="118"/>
      <c r="J43" s="118"/>
      <c r="K43" s="117"/>
      <c r="L43" s="117"/>
      <c r="M43" s="117"/>
      <c r="N43" s="117"/>
      <c r="O43" s="117"/>
      <c r="P43" s="117"/>
      <c r="Q43" s="117"/>
      <c r="AK43" s="115"/>
    </row>
    <row r="44" spans="1:49" s="36" customFormat="1" ht="15" customHeight="1" x14ac:dyDescent="0.2">
      <c r="A44" s="115" t="s">
        <v>84</v>
      </c>
      <c r="B44" s="115"/>
      <c r="C44" s="116"/>
      <c r="D44" s="115"/>
      <c r="E44" s="115"/>
      <c r="F44" s="115"/>
      <c r="G44" s="115"/>
      <c r="H44" s="115"/>
      <c r="I44" s="118"/>
      <c r="J44" s="118"/>
      <c r="K44" s="117"/>
      <c r="L44" s="117"/>
      <c r="M44" s="117"/>
      <c r="N44" s="117"/>
      <c r="O44" s="117"/>
      <c r="P44" s="117"/>
      <c r="Q44" s="117"/>
      <c r="AK44" s="115"/>
    </row>
    <row r="45" spans="1:49" s="36" customFormat="1" ht="15" customHeight="1" x14ac:dyDescent="0.2">
      <c r="A45" s="115" t="s">
        <v>85</v>
      </c>
      <c r="B45" s="115"/>
      <c r="C45" s="116"/>
      <c r="D45" s="115"/>
      <c r="E45" s="115"/>
      <c r="F45" s="115"/>
      <c r="G45" s="115"/>
      <c r="H45" s="115"/>
      <c r="I45" s="118"/>
      <c r="J45" s="118"/>
      <c r="K45" s="117"/>
      <c r="L45" s="117"/>
      <c r="M45" s="117"/>
      <c r="N45" s="117"/>
      <c r="O45" s="117"/>
      <c r="P45" s="117"/>
      <c r="Q45" s="117"/>
      <c r="AK45" s="115"/>
    </row>
    <row r="46" spans="1:49" s="36" customFormat="1" ht="15" customHeight="1" x14ac:dyDescent="0.2">
      <c r="A46" s="115" t="s">
        <v>86</v>
      </c>
      <c r="B46" s="115"/>
      <c r="C46" s="116"/>
      <c r="D46" s="115"/>
      <c r="E46" s="115"/>
      <c r="F46" s="115"/>
      <c r="G46" s="115"/>
      <c r="H46" s="115"/>
      <c r="I46" s="118"/>
      <c r="J46" s="118"/>
      <c r="K46" s="117"/>
      <c r="L46" s="117"/>
      <c r="M46" s="117"/>
      <c r="N46" s="117"/>
      <c r="O46" s="117"/>
      <c r="P46" s="117"/>
      <c r="Q46" s="117"/>
    </row>
    <row r="47" spans="1:49" s="36" customFormat="1" ht="15" customHeight="1" x14ac:dyDescent="0.2">
      <c r="A47" s="115" t="s">
        <v>87</v>
      </c>
      <c r="B47" s="115"/>
      <c r="C47" s="116"/>
      <c r="D47" s="115"/>
      <c r="E47" s="115"/>
      <c r="F47" s="115"/>
      <c r="G47" s="115"/>
      <c r="H47" s="115"/>
      <c r="I47" s="118"/>
      <c r="J47" s="118"/>
      <c r="K47" s="117"/>
      <c r="L47" s="117"/>
      <c r="M47" s="117"/>
      <c r="N47" s="117"/>
      <c r="O47" s="117"/>
      <c r="P47" s="117"/>
      <c r="Q47" s="117"/>
    </row>
    <row r="48" spans="1:49" s="36" customFormat="1" ht="15" customHeight="1" x14ac:dyDescent="0.2">
      <c r="A48" s="115" t="s">
        <v>89</v>
      </c>
      <c r="B48" s="115"/>
      <c r="C48" s="116"/>
      <c r="D48" s="115"/>
      <c r="E48" s="115"/>
      <c r="F48" s="115"/>
      <c r="G48" s="115"/>
      <c r="H48" s="115"/>
      <c r="I48" s="118"/>
      <c r="J48" s="118"/>
      <c r="K48" s="117"/>
      <c r="L48" s="117"/>
      <c r="M48" s="117"/>
      <c r="N48" s="117"/>
      <c r="O48" s="117"/>
      <c r="P48" s="117"/>
      <c r="Q48" s="117"/>
    </row>
    <row r="49" spans="1:17" ht="15" customHeight="1" x14ac:dyDescent="0.2">
      <c r="A49" s="115" t="s">
        <v>72</v>
      </c>
      <c r="B49" s="112"/>
      <c r="C49" s="113"/>
      <c r="D49" s="112"/>
      <c r="E49" s="112"/>
      <c r="F49" s="112"/>
      <c r="G49" s="112"/>
      <c r="H49" s="112"/>
      <c r="I49" s="112"/>
      <c r="J49" s="112"/>
      <c r="K49" s="22"/>
      <c r="L49" s="22"/>
      <c r="M49" s="22"/>
      <c r="N49" s="22"/>
      <c r="O49" s="22"/>
      <c r="P49" s="22"/>
      <c r="Q49" s="22"/>
    </row>
  </sheetData>
  <sheetProtection selectLockedCells="1" selectUnlockedCells="1"/>
  <customSheetViews>
    <customSheetView guid="{BA9A371C-F5E4-48D6-83C9-79939E56F42F}" showPageBreaks="1" fitToPage="1" printArea="1" hiddenRows="1" hiddenColumns="1">
      <selection activeCell="AS34" sqref="AS34"/>
      <pageMargins left="0.75" right="0.75" top="0.8" bottom="0.78" header="0.5" footer="0.5"/>
      <printOptions horizontalCentered="1"/>
      <pageSetup scale="91" orientation="landscape" r:id="rId1"/>
      <headerFooter alignWithMargins="0"/>
    </customSheetView>
  </customSheetViews>
  <mergeCells count="3">
    <mergeCell ref="A1:AU1"/>
    <mergeCell ref="A3:AU3"/>
    <mergeCell ref="A5:AU5"/>
  </mergeCells>
  <phoneticPr fontId="0" type="noConversion"/>
  <printOptions horizontalCentered="1"/>
  <pageMargins left="0.75" right="0.75" top="0.8" bottom="0.78" header="0.5" footer="0.5"/>
  <pageSetup scale="91" orientation="landscape" r:id="rId2"/>
  <headerFooter alignWithMargins="0"/>
  <ignoredErrors>
    <ignoredError sqref="X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3"/>
  <sheetViews>
    <sheetView topLeftCell="A218" workbookViewId="0">
      <selection activeCell="A253" sqref="A253"/>
    </sheetView>
  </sheetViews>
  <sheetFormatPr defaultRowHeight="12.75" x14ac:dyDescent="0.2"/>
  <cols>
    <col min="1" max="1" width="13.7109375" bestFit="1" customWidth="1"/>
    <col min="2" max="2" width="15.140625" style="1" bestFit="1" customWidth="1"/>
    <col min="3" max="3" width="15.28515625" style="1" bestFit="1" customWidth="1"/>
    <col min="4" max="4" width="14.28515625" style="1" bestFit="1" customWidth="1"/>
    <col min="5" max="5" width="15.28515625" style="1" bestFit="1" customWidth="1"/>
    <col min="6" max="6" width="15" style="1" customWidth="1"/>
    <col min="7" max="8" width="8.7109375" customWidth="1"/>
    <col min="9" max="9" width="37.42578125" style="141" customWidth="1"/>
    <col min="10" max="10" width="11" customWidth="1"/>
    <col min="11" max="11" width="14.140625" customWidth="1"/>
  </cols>
  <sheetData>
    <row r="1" spans="1:6" x14ac:dyDescent="0.2">
      <c r="A1" s="47" t="s">
        <v>35</v>
      </c>
      <c r="B1" s="41" t="s">
        <v>26</v>
      </c>
      <c r="C1" s="41" t="s">
        <v>28</v>
      </c>
      <c r="D1" s="41" t="s">
        <v>29</v>
      </c>
      <c r="E1" s="41" t="s">
        <v>27</v>
      </c>
      <c r="F1" s="41" t="s">
        <v>30</v>
      </c>
    </row>
    <row r="2" spans="1:6" x14ac:dyDescent="0.2">
      <c r="B2" s="38">
        <v>2085920</v>
      </c>
      <c r="C2" s="38">
        <v>2449159</v>
      </c>
      <c r="D2" s="38">
        <v>3974</v>
      </c>
      <c r="E2" s="38">
        <v>24588</v>
      </c>
      <c r="F2" s="38">
        <v>191957</v>
      </c>
    </row>
    <row r="3" spans="1:6" x14ac:dyDescent="0.2">
      <c r="B3" s="38">
        <v>91803</v>
      </c>
      <c r="C3" s="38">
        <v>21849</v>
      </c>
      <c r="D3" s="38">
        <v>100055</v>
      </c>
      <c r="E3" s="38">
        <v>8948293</v>
      </c>
      <c r="F3" s="38">
        <v>163198</v>
      </c>
    </row>
    <row r="4" spans="1:6" x14ac:dyDescent="0.2">
      <c r="B4" s="40">
        <v>112916</v>
      </c>
      <c r="C4" s="38">
        <v>11533</v>
      </c>
      <c r="D4" s="38">
        <v>335311</v>
      </c>
      <c r="E4" s="40">
        <v>436291</v>
      </c>
      <c r="F4" s="40">
        <v>886151</v>
      </c>
    </row>
    <row r="5" spans="1:6" x14ac:dyDescent="0.2">
      <c r="B5" s="38">
        <f>SUM(B2:B4)</f>
        <v>2290639</v>
      </c>
      <c r="C5" s="38">
        <v>16250</v>
      </c>
      <c r="D5" s="38">
        <v>9632</v>
      </c>
      <c r="E5" s="38">
        <f>SUM(E2:E4)</f>
        <v>9409172</v>
      </c>
      <c r="F5" s="38">
        <f>SUM(F2:F4)</f>
        <v>1241306</v>
      </c>
    </row>
    <row r="6" spans="1:6" x14ac:dyDescent="0.2">
      <c r="B6" s="38"/>
      <c r="C6" s="38">
        <v>44840</v>
      </c>
      <c r="D6" s="38">
        <v>41427</v>
      </c>
      <c r="E6" s="38"/>
      <c r="F6" s="38"/>
    </row>
    <row r="7" spans="1:6" x14ac:dyDescent="0.2">
      <c r="B7" s="42"/>
      <c r="C7" s="38">
        <v>36409</v>
      </c>
      <c r="D7" s="38">
        <v>2450</v>
      </c>
      <c r="E7" s="42"/>
      <c r="F7" s="42"/>
    </row>
    <row r="8" spans="1:6" x14ac:dyDescent="0.2">
      <c r="B8" s="38"/>
      <c r="C8" s="38">
        <v>36409</v>
      </c>
      <c r="D8" s="38">
        <v>76201</v>
      </c>
      <c r="E8" s="38"/>
      <c r="F8" s="38"/>
    </row>
    <row r="9" spans="1:6" x14ac:dyDescent="0.2">
      <c r="B9" s="38"/>
      <c r="C9" s="38">
        <v>153143</v>
      </c>
      <c r="D9" s="38">
        <v>1813003</v>
      </c>
      <c r="E9" s="38"/>
      <c r="F9" s="38"/>
    </row>
    <row r="10" spans="1:6" x14ac:dyDescent="0.2">
      <c r="B10" s="38"/>
      <c r="C10" s="38">
        <v>290510</v>
      </c>
      <c r="D10" s="40">
        <v>405960</v>
      </c>
      <c r="E10" s="38"/>
      <c r="F10" s="38"/>
    </row>
    <row r="11" spans="1:6" x14ac:dyDescent="0.2">
      <c r="B11" s="38"/>
      <c r="C11" s="38">
        <v>35032</v>
      </c>
      <c r="D11" s="38">
        <f>SUM(D2:D10)</f>
        <v>2788013</v>
      </c>
      <c r="E11" s="38"/>
      <c r="F11" s="38"/>
    </row>
    <row r="12" spans="1:6" x14ac:dyDescent="0.2">
      <c r="B12" s="38"/>
      <c r="C12" s="38">
        <v>302633</v>
      </c>
      <c r="D12" s="38"/>
      <c r="E12" s="38"/>
      <c r="F12" s="38"/>
    </row>
    <row r="13" spans="1:6" x14ac:dyDescent="0.2">
      <c r="B13" s="38"/>
      <c r="C13" s="40">
        <v>138497</v>
      </c>
      <c r="D13" s="42"/>
      <c r="E13" s="38"/>
      <c r="F13" s="38"/>
    </row>
    <row r="14" spans="1:6" x14ac:dyDescent="0.2">
      <c r="C14" s="39">
        <f>SUM(C2:C13)</f>
        <v>3536264</v>
      </c>
    </row>
    <row r="16" spans="1:6" x14ac:dyDescent="0.2">
      <c r="C16" s="37"/>
      <c r="F16" s="39"/>
    </row>
    <row r="20" spans="1:12" x14ac:dyDescent="0.2">
      <c r="A20" s="47" t="s">
        <v>34</v>
      </c>
      <c r="B20" s="41" t="s">
        <v>26</v>
      </c>
      <c r="C20" s="41" t="s">
        <v>28</v>
      </c>
      <c r="D20" s="41" t="s">
        <v>29</v>
      </c>
      <c r="E20" s="41" t="s">
        <v>27</v>
      </c>
      <c r="F20" s="41" t="s">
        <v>30</v>
      </c>
      <c r="J20" s="171"/>
      <c r="K20" s="171"/>
    </row>
    <row r="21" spans="1:12" x14ac:dyDescent="0.2">
      <c r="B21" s="57">
        <v>2591394</v>
      </c>
      <c r="C21" s="57">
        <v>2638022</v>
      </c>
      <c r="D21" s="57">
        <v>82281</v>
      </c>
      <c r="E21" s="57">
        <v>12046</v>
      </c>
      <c r="F21" s="57">
        <v>181226</v>
      </c>
      <c r="G21" s="51"/>
      <c r="H21" s="51"/>
      <c r="J21" s="48" t="s">
        <v>41</v>
      </c>
      <c r="K21" s="48" t="s">
        <v>42</v>
      </c>
      <c r="L21" s="47" t="s">
        <v>43</v>
      </c>
    </row>
    <row r="22" spans="1:12" x14ac:dyDescent="0.2">
      <c r="B22" s="57">
        <v>103253</v>
      </c>
      <c r="C22" s="57">
        <v>13463</v>
      </c>
      <c r="D22" s="57">
        <v>405530</v>
      </c>
      <c r="E22" s="57">
        <v>500406</v>
      </c>
      <c r="F22" s="57">
        <v>118350</v>
      </c>
      <c r="G22" s="51"/>
      <c r="H22" s="51" t="s">
        <v>26</v>
      </c>
      <c r="I22" s="141" t="s">
        <v>37</v>
      </c>
      <c r="J22" s="65">
        <v>191957</v>
      </c>
      <c r="K22" s="65">
        <v>181226</v>
      </c>
      <c r="L22" s="67">
        <f>(K22-J22)/J22</f>
        <v>-5.5903144975176733E-2</v>
      </c>
    </row>
    <row r="23" spans="1:12" x14ac:dyDescent="0.2">
      <c r="B23" s="58">
        <v>160378</v>
      </c>
      <c r="C23" s="58">
        <v>5000</v>
      </c>
      <c r="D23" s="57">
        <v>11422</v>
      </c>
      <c r="E23" s="58">
        <v>0</v>
      </c>
      <c r="F23" s="74">
        <v>939454</v>
      </c>
      <c r="G23" s="51"/>
      <c r="H23" s="51" t="s">
        <v>28</v>
      </c>
      <c r="I23" s="141" t="s">
        <v>38</v>
      </c>
      <c r="J23" s="65">
        <v>163198</v>
      </c>
      <c r="K23" s="65">
        <v>118350</v>
      </c>
      <c r="L23" s="67">
        <f>(K23-J23)/J23</f>
        <v>-0.27480728930501597</v>
      </c>
    </row>
    <row r="24" spans="1:12" x14ac:dyDescent="0.2">
      <c r="B24" s="59">
        <v>1500</v>
      </c>
      <c r="C24" s="57">
        <v>21500</v>
      </c>
      <c r="D24" s="57">
        <v>15767</v>
      </c>
      <c r="E24" s="57">
        <v>11319325</v>
      </c>
      <c r="F24" s="57">
        <f>SUM(F21:F23)</f>
        <v>1239030</v>
      </c>
      <c r="G24" s="51"/>
      <c r="H24" s="51" t="s">
        <v>40</v>
      </c>
      <c r="I24" s="141" t="s">
        <v>39</v>
      </c>
      <c r="J24" s="66">
        <v>886151</v>
      </c>
      <c r="K24" s="66">
        <v>387126</v>
      </c>
      <c r="L24" s="68">
        <f>(K24-J24)/J24</f>
        <v>-0.56313765938310745</v>
      </c>
    </row>
    <row r="25" spans="1:12" x14ac:dyDescent="0.2">
      <c r="B25" s="57">
        <f>SUM(B21:B24)</f>
        <v>2856525</v>
      </c>
      <c r="C25" s="57">
        <v>47276</v>
      </c>
      <c r="D25" s="57">
        <v>29824</v>
      </c>
      <c r="E25" s="57">
        <f>SUM(E21:E24)</f>
        <v>11831777</v>
      </c>
      <c r="F25" s="57"/>
      <c r="G25" s="51"/>
      <c r="H25" s="51"/>
      <c r="J25" s="65">
        <f>SUM(J22:J24)</f>
        <v>1241306</v>
      </c>
      <c r="K25" s="65">
        <f>SUM(K22:K24)</f>
        <v>686702</v>
      </c>
      <c r="L25" s="67">
        <f>(K25-J25)/J25</f>
        <v>-0.44679071880744958</v>
      </c>
    </row>
    <row r="26" spans="1:12" x14ac:dyDescent="0.2">
      <c r="B26" s="57"/>
      <c r="C26" s="57">
        <v>62003</v>
      </c>
      <c r="D26" s="57">
        <v>117867</v>
      </c>
      <c r="E26" s="57"/>
      <c r="F26" s="60">
        <f>F24/1000</f>
        <v>1239.03</v>
      </c>
      <c r="G26" s="51"/>
      <c r="H26" s="51"/>
    </row>
    <row r="27" spans="1:12" x14ac:dyDescent="0.2">
      <c r="B27" s="57"/>
      <c r="C27" s="57">
        <v>62003</v>
      </c>
      <c r="D27" s="57">
        <v>2168064</v>
      </c>
      <c r="E27" s="60">
        <f>E25/1000</f>
        <v>11831.777</v>
      </c>
      <c r="F27" s="57"/>
      <c r="G27" s="75" t="s">
        <v>49</v>
      </c>
      <c r="H27" s="51"/>
    </row>
    <row r="28" spans="1:12" x14ac:dyDescent="0.2">
      <c r="B28" s="57"/>
      <c r="C28" s="57">
        <v>191629</v>
      </c>
      <c r="D28" s="59">
        <v>491854</v>
      </c>
      <c r="E28" s="57"/>
      <c r="F28" s="57"/>
      <c r="G28" s="51"/>
      <c r="H28" s="51"/>
    </row>
    <row r="29" spans="1:12" x14ac:dyDescent="0.2">
      <c r="B29" s="61">
        <f>B25/1000</f>
        <v>2856.5250000000001</v>
      </c>
      <c r="C29" s="57">
        <v>376651</v>
      </c>
      <c r="D29" s="57">
        <f>SUM(D21:D28)</f>
        <v>3322609</v>
      </c>
      <c r="E29" s="57"/>
      <c r="F29" s="57"/>
      <c r="G29" s="51"/>
      <c r="H29" s="51"/>
    </row>
    <row r="30" spans="1:12" x14ac:dyDescent="0.2">
      <c r="B30" s="57"/>
      <c r="C30" s="57">
        <v>5664</v>
      </c>
      <c r="D30" s="57"/>
      <c r="E30" s="57"/>
      <c r="F30" s="57"/>
      <c r="G30" s="51"/>
      <c r="H30" s="51"/>
    </row>
    <row r="31" spans="1:12" x14ac:dyDescent="0.2">
      <c r="B31" s="57"/>
      <c r="C31" s="57">
        <v>27676</v>
      </c>
      <c r="D31" s="60">
        <f>D29/1000</f>
        <v>3322.6089999999999</v>
      </c>
      <c r="E31" s="57"/>
      <c r="F31" s="57"/>
      <c r="G31" s="51"/>
      <c r="H31" s="51"/>
    </row>
    <row r="32" spans="1:12" x14ac:dyDescent="0.2">
      <c r="B32" s="57"/>
      <c r="C32" s="57">
        <v>379944</v>
      </c>
      <c r="D32" s="57"/>
      <c r="E32" s="57"/>
      <c r="F32" s="57"/>
      <c r="G32" s="51"/>
      <c r="H32" s="51"/>
    </row>
    <row r="33" spans="1:8" x14ac:dyDescent="0.2">
      <c r="B33" s="58"/>
      <c r="C33" s="57">
        <v>258276</v>
      </c>
      <c r="D33" s="57"/>
      <c r="E33" s="57"/>
      <c r="F33" s="57"/>
      <c r="G33" s="51"/>
      <c r="H33" s="51"/>
    </row>
    <row r="34" spans="1:8" x14ac:dyDescent="0.2">
      <c r="B34" s="57"/>
      <c r="C34" s="59">
        <v>0</v>
      </c>
      <c r="D34" s="57"/>
      <c r="E34" s="57"/>
      <c r="F34" s="57"/>
      <c r="G34" s="51"/>
      <c r="H34" s="51"/>
    </row>
    <row r="35" spans="1:8" x14ac:dyDescent="0.2">
      <c r="B35" s="62"/>
      <c r="C35" s="57">
        <f>SUM(C21:C34)</f>
        <v>4089107</v>
      </c>
      <c r="D35" s="62"/>
      <c r="E35" s="62"/>
      <c r="F35" s="62"/>
    </row>
    <row r="36" spans="1:8" x14ac:dyDescent="0.2">
      <c r="B36" s="62"/>
      <c r="C36" s="62"/>
      <c r="D36" s="62"/>
      <c r="E36" s="62"/>
      <c r="F36" s="62"/>
    </row>
    <row r="37" spans="1:8" x14ac:dyDescent="0.2">
      <c r="C37" s="53">
        <f>C35/1000</f>
        <v>4089.107</v>
      </c>
    </row>
    <row r="38" spans="1:8" x14ac:dyDescent="0.2">
      <c r="B38" s="50"/>
      <c r="G38" s="52"/>
    </row>
    <row r="39" spans="1:8" x14ac:dyDescent="0.2">
      <c r="B39" s="48" t="s">
        <v>36</v>
      </c>
      <c r="C39" s="50">
        <f>B25+C35+D29+E25+F24</f>
        <v>23339048</v>
      </c>
    </row>
    <row r="43" spans="1:8" x14ac:dyDescent="0.2">
      <c r="A43" t="s">
        <v>46</v>
      </c>
      <c r="B43" s="64" t="s">
        <v>26</v>
      </c>
      <c r="C43" s="64" t="s">
        <v>28</v>
      </c>
      <c r="D43" s="64" t="s">
        <v>29</v>
      </c>
      <c r="E43" s="64" t="s">
        <v>27</v>
      </c>
      <c r="F43" s="64" t="s">
        <v>30</v>
      </c>
    </row>
    <row r="44" spans="1:8" x14ac:dyDescent="0.2">
      <c r="A44" s="71">
        <f>28641405-77485</f>
        <v>28563920</v>
      </c>
      <c r="B44" s="69">
        <v>4095849</v>
      </c>
      <c r="C44" s="69">
        <v>2734485</v>
      </c>
      <c r="D44" s="69">
        <v>173925</v>
      </c>
      <c r="E44" s="69">
        <v>7136</v>
      </c>
      <c r="F44" s="69">
        <v>279556</v>
      </c>
    </row>
    <row r="45" spans="1:8" x14ac:dyDescent="0.2">
      <c r="B45" s="69">
        <v>117671</v>
      </c>
      <c r="C45" s="69">
        <v>15000</v>
      </c>
      <c r="D45" s="69">
        <v>390713</v>
      </c>
      <c r="E45" s="73">
        <v>494974</v>
      </c>
      <c r="F45" s="69">
        <v>109693</v>
      </c>
    </row>
    <row r="46" spans="1:8" x14ac:dyDescent="0.2">
      <c r="B46" s="69">
        <v>1500</v>
      </c>
      <c r="C46" s="69">
        <v>10250</v>
      </c>
      <c r="D46" s="69">
        <v>38013</v>
      </c>
      <c r="E46" s="70">
        <v>13922522</v>
      </c>
      <c r="F46" s="70">
        <v>990882</v>
      </c>
    </row>
    <row r="47" spans="1:8" x14ac:dyDescent="0.2">
      <c r="B47" s="70">
        <v>435959</v>
      </c>
      <c r="C47" s="69">
        <v>72758</v>
      </c>
      <c r="D47" s="72">
        <v>21357</v>
      </c>
      <c r="E47" s="69">
        <f>SUM(E44:E46)</f>
        <v>14424632</v>
      </c>
      <c r="F47" s="69">
        <f>SUM(F44:F46)</f>
        <v>1380131</v>
      </c>
    </row>
    <row r="48" spans="1:8" x14ac:dyDescent="0.2">
      <c r="B48" s="69">
        <f>SUM(B44:B47)</f>
        <v>4650979</v>
      </c>
      <c r="C48" s="69">
        <v>26375</v>
      </c>
      <c r="D48" s="69">
        <v>36623</v>
      </c>
      <c r="E48" s="69"/>
      <c r="F48" s="69"/>
    </row>
    <row r="49" spans="1:6" x14ac:dyDescent="0.2">
      <c r="B49" s="69"/>
      <c r="C49" s="69">
        <v>26375</v>
      </c>
      <c r="D49" s="69">
        <v>120946</v>
      </c>
      <c r="E49" s="69"/>
      <c r="F49" s="69"/>
    </row>
    <row r="50" spans="1:6" x14ac:dyDescent="0.2">
      <c r="A50" s="47" t="s">
        <v>47</v>
      </c>
      <c r="C50" s="69">
        <v>156894</v>
      </c>
      <c r="D50" s="69">
        <f>3502744-990882</f>
        <v>2511862</v>
      </c>
      <c r="E50" s="69"/>
      <c r="F50" s="69"/>
    </row>
    <row r="51" spans="1:6" x14ac:dyDescent="0.2">
      <c r="A51" s="71">
        <f>B48+C55+D52+E47+F47</f>
        <v>28563920</v>
      </c>
      <c r="C51" s="69">
        <v>473399</v>
      </c>
      <c r="D51" s="70">
        <v>529256</v>
      </c>
      <c r="E51" s="69"/>
      <c r="F51" s="69"/>
    </row>
    <row r="52" spans="1:6" x14ac:dyDescent="0.2">
      <c r="A52" s="71"/>
      <c r="C52" s="69">
        <v>75565</v>
      </c>
      <c r="D52" s="69">
        <f>SUM(D44:D51)</f>
        <v>3822695</v>
      </c>
      <c r="E52" s="69"/>
      <c r="F52" s="69"/>
    </row>
    <row r="53" spans="1:6" x14ac:dyDescent="0.2">
      <c r="C53" s="69">
        <v>324499</v>
      </c>
      <c r="D53" s="69"/>
      <c r="E53" s="69"/>
      <c r="F53" s="69"/>
    </row>
    <row r="54" spans="1:6" x14ac:dyDescent="0.2">
      <c r="C54" s="70">
        <v>369883</v>
      </c>
      <c r="D54" s="69"/>
      <c r="E54" s="69"/>
      <c r="F54" s="69"/>
    </row>
    <row r="55" spans="1:6" x14ac:dyDescent="0.2">
      <c r="C55" s="69">
        <f>SUM(C44:C54)</f>
        <v>4285483</v>
      </c>
    </row>
    <row r="59" spans="1:6" x14ac:dyDescent="0.2">
      <c r="B59" s="69">
        <f>B48/1000</f>
        <v>4650.9790000000003</v>
      </c>
      <c r="C59" s="69">
        <f>C55/1000</f>
        <v>4285.4830000000002</v>
      </c>
      <c r="D59" s="69">
        <f>D52/1000</f>
        <v>3822.6950000000002</v>
      </c>
      <c r="E59" s="69">
        <f>E47/1000</f>
        <v>14424.632</v>
      </c>
      <c r="F59" s="69">
        <f>F47/1000</f>
        <v>1380.1310000000001</v>
      </c>
    </row>
    <row r="66" spans="1:6" x14ac:dyDescent="0.2">
      <c r="A66" s="47" t="s">
        <v>50</v>
      </c>
      <c r="B66" s="81" t="s">
        <v>26</v>
      </c>
      <c r="C66" s="81" t="s">
        <v>28</v>
      </c>
      <c r="D66" s="81" t="s">
        <v>29</v>
      </c>
      <c r="E66" s="81" t="s">
        <v>27</v>
      </c>
      <c r="F66" s="81" t="s">
        <v>30</v>
      </c>
    </row>
    <row r="67" spans="1:6" x14ac:dyDescent="0.2">
      <c r="A67" s="80">
        <f>31677935-44171</f>
        <v>31633764</v>
      </c>
      <c r="B67" s="69">
        <v>4812564</v>
      </c>
      <c r="C67" s="69">
        <v>2807843</v>
      </c>
      <c r="D67" s="69">
        <v>4575</v>
      </c>
      <c r="E67" s="69">
        <v>20500</v>
      </c>
      <c r="F67" s="69">
        <v>160594</v>
      </c>
    </row>
    <row r="68" spans="1:6" x14ac:dyDescent="0.2">
      <c r="B68" s="69">
        <v>121187</v>
      </c>
      <c r="C68" s="69">
        <v>25031</v>
      </c>
      <c r="D68" s="69">
        <v>93129</v>
      </c>
      <c r="E68" s="73">
        <v>15372912</v>
      </c>
      <c r="F68" s="69">
        <v>37771</v>
      </c>
    </row>
    <row r="69" spans="1:6" x14ac:dyDescent="0.2">
      <c r="B69" s="69">
        <v>1500</v>
      </c>
      <c r="C69" s="69">
        <v>25031</v>
      </c>
      <c r="D69" s="69">
        <v>886316</v>
      </c>
      <c r="E69" s="70">
        <v>561756</v>
      </c>
      <c r="F69" s="70">
        <v>1231228</v>
      </c>
    </row>
    <row r="70" spans="1:6" x14ac:dyDescent="0.2">
      <c r="B70" s="69">
        <v>275055</v>
      </c>
      <c r="C70" s="69">
        <v>69332</v>
      </c>
      <c r="D70" s="72">
        <v>88511</v>
      </c>
      <c r="E70" s="69">
        <f>SUM(E67:E69)</f>
        <v>15955168</v>
      </c>
      <c r="F70" s="69">
        <f>SUM(F67:F69)</f>
        <v>1429593</v>
      </c>
    </row>
    <row r="71" spans="1:6" x14ac:dyDescent="0.2">
      <c r="B71" s="70">
        <v>260551</v>
      </c>
      <c r="C71" s="69">
        <v>81616</v>
      </c>
      <c r="D71" s="69">
        <v>76970</v>
      </c>
    </row>
    <row r="72" spans="1:6" x14ac:dyDescent="0.2">
      <c r="B72" s="69">
        <f>SUM(B67:B71)</f>
        <v>5470857</v>
      </c>
      <c r="C72" s="69">
        <v>308749</v>
      </c>
      <c r="D72" s="69">
        <v>30170</v>
      </c>
      <c r="E72" s="69"/>
      <c r="F72" s="69"/>
    </row>
    <row r="73" spans="1:6" x14ac:dyDescent="0.2">
      <c r="A73" s="47" t="s">
        <v>51</v>
      </c>
      <c r="B73" s="69"/>
      <c r="C73" s="69">
        <v>516192</v>
      </c>
      <c r="D73" s="69">
        <v>128253</v>
      </c>
      <c r="E73" s="69"/>
      <c r="F73" s="69"/>
    </row>
    <row r="74" spans="1:6" x14ac:dyDescent="0.2">
      <c r="A74" s="47" t="b">
        <f>A76=A67</f>
        <v>1</v>
      </c>
      <c r="B74" s="77"/>
      <c r="C74" s="1">
        <v>96796</v>
      </c>
      <c r="D74" s="69">
        <v>693766</v>
      </c>
      <c r="E74" s="69"/>
      <c r="F74" s="69"/>
    </row>
    <row r="75" spans="1:6" x14ac:dyDescent="0.2">
      <c r="A75" s="47"/>
      <c r="B75" s="77"/>
      <c r="C75" s="69"/>
      <c r="D75" s="70">
        <f>4077094-1231228</f>
        <v>2845866</v>
      </c>
      <c r="E75" s="69"/>
      <c r="F75" s="69"/>
    </row>
    <row r="76" spans="1:6" x14ac:dyDescent="0.2">
      <c r="A76" s="71">
        <f>B72+C80+D76+E70+F70</f>
        <v>31633764</v>
      </c>
      <c r="B76" s="77"/>
      <c r="C76" s="69"/>
      <c r="D76" s="69">
        <f>SUM(D67:D75)</f>
        <v>4847556</v>
      </c>
      <c r="E76" s="69"/>
      <c r="F76" s="69"/>
    </row>
    <row r="77" spans="1:6" x14ac:dyDescent="0.2">
      <c r="A77" s="71"/>
      <c r="B77" s="77"/>
      <c r="C77" s="69"/>
      <c r="E77" s="69"/>
      <c r="F77" s="69"/>
    </row>
    <row r="78" spans="1:6" x14ac:dyDescent="0.2">
      <c r="B78" s="77"/>
      <c r="C78" s="69"/>
      <c r="D78" s="69"/>
      <c r="E78" s="69"/>
      <c r="F78" s="69"/>
    </row>
    <row r="79" spans="1:6" x14ac:dyDescent="0.2">
      <c r="B79" s="77"/>
      <c r="C79" s="70"/>
      <c r="D79" s="69"/>
      <c r="E79" s="69"/>
      <c r="F79" s="69"/>
    </row>
    <row r="80" spans="1:6" x14ac:dyDescent="0.2">
      <c r="B80" s="77"/>
      <c r="C80" s="69">
        <f>SUM(C67:C79)</f>
        <v>3930590</v>
      </c>
      <c r="D80" s="77"/>
      <c r="E80" s="77"/>
      <c r="F80" s="77"/>
    </row>
    <row r="81" spans="1:6" x14ac:dyDescent="0.2">
      <c r="A81" s="71"/>
      <c r="B81" s="77"/>
      <c r="C81" s="77"/>
      <c r="D81" s="77"/>
      <c r="E81" s="77"/>
      <c r="F81" s="77"/>
    </row>
    <row r="82" spans="1:6" x14ac:dyDescent="0.2">
      <c r="B82" s="77"/>
      <c r="C82" s="77"/>
      <c r="D82" s="77"/>
      <c r="E82" s="77"/>
      <c r="F82" s="77"/>
    </row>
    <row r="83" spans="1:6" x14ac:dyDescent="0.2">
      <c r="B83" s="77"/>
      <c r="C83" s="77"/>
      <c r="D83" s="77"/>
      <c r="E83" s="77"/>
      <c r="F83" s="77"/>
    </row>
    <row r="84" spans="1:6" x14ac:dyDescent="0.2">
      <c r="B84" s="82">
        <f>B72/1000</f>
        <v>5470.857</v>
      </c>
      <c r="C84" s="82">
        <f>C80/1000</f>
        <v>3930.59</v>
      </c>
      <c r="D84" s="82">
        <f>D76/1000</f>
        <v>4847.5559999999996</v>
      </c>
      <c r="E84" s="82">
        <f>E70/1000</f>
        <v>15955.168</v>
      </c>
      <c r="F84" s="82">
        <f>F70/1000</f>
        <v>1429.5930000000001</v>
      </c>
    </row>
    <row r="85" spans="1:6" x14ac:dyDescent="0.2">
      <c r="B85" s="77"/>
      <c r="C85" s="77"/>
      <c r="D85" s="77"/>
      <c r="E85" s="77"/>
      <c r="F85" s="77"/>
    </row>
    <row r="89" spans="1:6" x14ac:dyDescent="0.2">
      <c r="A89" s="47" t="s">
        <v>53</v>
      </c>
      <c r="B89" s="81" t="s">
        <v>26</v>
      </c>
      <c r="C89" s="81" t="s">
        <v>28</v>
      </c>
      <c r="D89" s="81" t="s">
        <v>29</v>
      </c>
      <c r="E89" s="81" t="s">
        <v>27</v>
      </c>
      <c r="F89" s="81" t="s">
        <v>30</v>
      </c>
    </row>
    <row r="90" spans="1:6" x14ac:dyDescent="0.2">
      <c r="A90" s="80">
        <f>32285788-27937</f>
        <v>32257851</v>
      </c>
      <c r="B90" s="94">
        <v>4513394</v>
      </c>
      <c r="C90" s="94">
        <v>2749549</v>
      </c>
      <c r="D90" s="94">
        <v>5368</v>
      </c>
      <c r="E90" s="94">
        <v>21500</v>
      </c>
      <c r="F90" s="94">
        <v>167503</v>
      </c>
    </row>
    <row r="91" spans="1:6" x14ac:dyDescent="0.2">
      <c r="B91" s="94">
        <v>112008</v>
      </c>
      <c r="C91" s="94">
        <v>348971</v>
      </c>
      <c r="D91" s="94">
        <v>66185</v>
      </c>
      <c r="E91" s="95">
        <v>15552433</v>
      </c>
      <c r="F91" s="94">
        <v>0</v>
      </c>
    </row>
    <row r="92" spans="1:6" x14ac:dyDescent="0.2">
      <c r="B92" s="94">
        <v>1020</v>
      </c>
      <c r="C92" s="94">
        <v>63832</v>
      </c>
      <c r="D92" s="94">
        <v>503268</v>
      </c>
      <c r="E92" s="96">
        <v>874691</v>
      </c>
      <c r="F92" s="96">
        <v>1237565</v>
      </c>
    </row>
    <row r="93" spans="1:6" x14ac:dyDescent="0.2">
      <c r="B93" s="94">
        <v>87524</v>
      </c>
      <c r="C93" s="94">
        <v>295249</v>
      </c>
      <c r="D93" s="97">
        <v>104887</v>
      </c>
      <c r="E93" s="94">
        <f>SUM(E90:E92)</f>
        <v>16448624</v>
      </c>
      <c r="F93" s="94">
        <f>SUM(F90:F92)</f>
        <v>1405068</v>
      </c>
    </row>
    <row r="94" spans="1:6" x14ac:dyDescent="0.2">
      <c r="B94" s="96">
        <v>333060</v>
      </c>
      <c r="C94" s="94">
        <v>87537</v>
      </c>
      <c r="D94" s="94">
        <v>0</v>
      </c>
      <c r="E94" s="98"/>
      <c r="F94" s="98"/>
    </row>
    <row r="95" spans="1:6" x14ac:dyDescent="0.2">
      <c r="B95" s="94">
        <f>SUM(B90:B94)</f>
        <v>5047006</v>
      </c>
      <c r="C95" s="94">
        <v>207639</v>
      </c>
      <c r="D95" s="94">
        <v>31649</v>
      </c>
      <c r="E95" s="94"/>
      <c r="F95" s="94"/>
    </row>
    <row r="96" spans="1:6" x14ac:dyDescent="0.2">
      <c r="A96" s="47" t="s">
        <v>51</v>
      </c>
      <c r="B96" s="94"/>
      <c r="C96" s="94">
        <v>597118</v>
      </c>
      <c r="D96" s="94">
        <v>154029</v>
      </c>
      <c r="E96" s="94"/>
      <c r="F96" s="94"/>
    </row>
    <row r="97" spans="1:6" x14ac:dyDescent="0.2">
      <c r="A97" s="47" t="b">
        <f>A99=A90</f>
        <v>1</v>
      </c>
      <c r="B97" s="98"/>
      <c r="C97" s="99">
        <v>69056</v>
      </c>
      <c r="D97" s="94">
        <v>661904</v>
      </c>
      <c r="E97" s="94"/>
      <c r="F97" s="94"/>
    </row>
    <row r="98" spans="1:6" x14ac:dyDescent="0.2">
      <c r="A98" s="47"/>
      <c r="B98" s="98"/>
      <c r="C98" s="94"/>
      <c r="D98" s="96">
        <v>3410912</v>
      </c>
      <c r="E98" s="94"/>
      <c r="F98" s="94"/>
    </row>
    <row r="99" spans="1:6" x14ac:dyDescent="0.2">
      <c r="A99" s="71">
        <f>B95+C103+D99+E93+F93</f>
        <v>32257851</v>
      </c>
      <c r="B99" s="98"/>
      <c r="C99" s="94"/>
      <c r="D99" s="94">
        <f>SUM(D90:D98)</f>
        <v>4938202</v>
      </c>
      <c r="E99" s="94"/>
      <c r="F99" s="94"/>
    </row>
    <row r="100" spans="1:6" x14ac:dyDescent="0.2">
      <c r="A100" s="71"/>
      <c r="B100" s="79"/>
      <c r="C100" s="69"/>
      <c r="D100" s="79"/>
      <c r="E100" s="69"/>
      <c r="F100" s="69"/>
    </row>
    <row r="101" spans="1:6" x14ac:dyDescent="0.2">
      <c r="B101" s="79"/>
      <c r="C101" s="69"/>
      <c r="D101" s="69"/>
      <c r="E101" s="69"/>
      <c r="F101" s="69"/>
    </row>
    <row r="102" spans="1:6" x14ac:dyDescent="0.2">
      <c r="B102" s="79"/>
      <c r="C102" s="70"/>
      <c r="D102" s="69"/>
      <c r="E102" s="69"/>
      <c r="F102" s="69"/>
    </row>
    <row r="103" spans="1:6" x14ac:dyDescent="0.2">
      <c r="B103" s="79"/>
      <c r="C103" s="69">
        <f>SUM(C90:C102)</f>
        <v>4418951</v>
      </c>
      <c r="D103" s="79"/>
      <c r="E103" s="79"/>
      <c r="F103" s="79"/>
    </row>
    <row r="104" spans="1:6" x14ac:dyDescent="0.2">
      <c r="A104" s="71"/>
      <c r="B104" s="79"/>
      <c r="C104" s="79"/>
      <c r="D104" s="79"/>
      <c r="E104" s="79"/>
      <c r="F104" s="79"/>
    </row>
    <row r="105" spans="1:6" x14ac:dyDescent="0.2">
      <c r="B105" s="79"/>
      <c r="C105" s="79"/>
      <c r="D105" s="79"/>
      <c r="E105" s="79"/>
      <c r="F105" s="79"/>
    </row>
    <row r="106" spans="1:6" x14ac:dyDescent="0.2">
      <c r="B106" s="79"/>
      <c r="C106" s="79"/>
      <c r="D106" s="79"/>
      <c r="E106" s="79"/>
      <c r="F106" s="79"/>
    </row>
    <row r="107" spans="1:6" x14ac:dyDescent="0.2">
      <c r="B107" s="82">
        <f>B95/1000</f>
        <v>5047.0060000000003</v>
      </c>
      <c r="C107" s="82">
        <f>C103/1000</f>
        <v>4418.951</v>
      </c>
      <c r="D107" s="82">
        <f>D99/1000</f>
        <v>4938.2020000000002</v>
      </c>
      <c r="E107" s="82">
        <f>E93/1000</f>
        <v>16448.624</v>
      </c>
      <c r="F107" s="82">
        <f>F93/1000</f>
        <v>1405.068</v>
      </c>
    </row>
    <row r="115" spans="1:6" x14ac:dyDescent="0.2">
      <c r="A115" s="47" t="s">
        <v>53</v>
      </c>
      <c r="B115" s="81" t="s">
        <v>26</v>
      </c>
      <c r="C115" s="81" t="s">
        <v>28</v>
      </c>
      <c r="D115" s="81" t="s">
        <v>29</v>
      </c>
      <c r="E115" s="81" t="s">
        <v>27</v>
      </c>
      <c r="F115" s="81" t="s">
        <v>30</v>
      </c>
    </row>
    <row r="116" spans="1:6" x14ac:dyDescent="0.2">
      <c r="A116" s="80">
        <f>32440547-39155</f>
        <v>32401392</v>
      </c>
      <c r="B116" s="94">
        <v>4449044</v>
      </c>
      <c r="C116" s="94">
        <v>2458655</v>
      </c>
      <c r="D116" s="94">
        <v>100141</v>
      </c>
      <c r="E116" s="94">
        <v>9000</v>
      </c>
      <c r="F116" s="94">
        <v>205166</v>
      </c>
    </row>
    <row r="117" spans="1:6" x14ac:dyDescent="0.2">
      <c r="B117" s="94">
        <v>114355</v>
      </c>
      <c r="C117" s="94">
        <v>79787</v>
      </c>
      <c r="D117" s="94">
        <v>801965</v>
      </c>
      <c r="E117" s="95">
        <v>15418524</v>
      </c>
      <c r="F117" s="94">
        <v>1141513</v>
      </c>
    </row>
    <row r="118" spans="1:6" x14ac:dyDescent="0.2">
      <c r="B118" s="94">
        <v>433740</v>
      </c>
      <c r="C118" s="94">
        <v>50206</v>
      </c>
      <c r="D118" s="94">
        <v>65123</v>
      </c>
      <c r="E118" s="96">
        <v>857976</v>
      </c>
      <c r="F118" s="96"/>
    </row>
    <row r="119" spans="1:6" x14ac:dyDescent="0.2">
      <c r="B119" s="94">
        <v>107876</v>
      </c>
      <c r="C119" s="94">
        <v>70663</v>
      </c>
      <c r="D119" s="97">
        <v>262804</v>
      </c>
      <c r="E119" s="94">
        <f>SUM(E116:E118)</f>
        <v>16285500</v>
      </c>
      <c r="F119" s="94">
        <f>SUM(F116:F118)</f>
        <v>1346679</v>
      </c>
    </row>
    <row r="120" spans="1:6" x14ac:dyDescent="0.2">
      <c r="B120" s="96"/>
      <c r="C120" s="94">
        <v>62002</v>
      </c>
      <c r="D120" s="94">
        <v>48473</v>
      </c>
      <c r="E120" s="98"/>
      <c r="F120" s="98"/>
    </row>
    <row r="121" spans="1:6" x14ac:dyDescent="0.2">
      <c r="B121" s="94">
        <f>SUM(B116:B120)</f>
        <v>5105015</v>
      </c>
      <c r="C121" s="94">
        <v>506610</v>
      </c>
      <c r="D121" s="94">
        <v>93006</v>
      </c>
      <c r="E121" s="94"/>
      <c r="F121" s="94"/>
    </row>
    <row r="122" spans="1:6" x14ac:dyDescent="0.2">
      <c r="A122" s="47" t="s">
        <v>51</v>
      </c>
      <c r="B122" s="94"/>
      <c r="C122" s="94"/>
      <c r="D122" s="94">
        <v>4429056</v>
      </c>
      <c r="E122" s="94"/>
      <c r="F122" s="94"/>
    </row>
    <row r="123" spans="1:6" x14ac:dyDescent="0.2">
      <c r="A123" s="47" t="b">
        <f>A125=A116</f>
        <v>1</v>
      </c>
      <c r="B123" s="98"/>
      <c r="C123" s="99"/>
      <c r="D123" s="94">
        <v>635707</v>
      </c>
      <c r="E123" s="94"/>
      <c r="F123" s="94"/>
    </row>
    <row r="124" spans="1:6" x14ac:dyDescent="0.2">
      <c r="A124" s="47"/>
      <c r="B124" s="98"/>
      <c r="C124" s="94"/>
      <c r="D124" s="96"/>
      <c r="E124" s="94"/>
      <c r="F124" s="94"/>
    </row>
    <row r="125" spans="1:6" x14ac:dyDescent="0.2">
      <c r="A125" s="71">
        <f>B121+C129+D125+E119+F119</f>
        <v>32401392</v>
      </c>
      <c r="B125" s="98"/>
      <c r="C125" s="94"/>
      <c r="D125" s="94">
        <f>SUM(D116:D124)</f>
        <v>6436275</v>
      </c>
      <c r="E125" s="94"/>
      <c r="F125" s="94"/>
    </row>
    <row r="126" spans="1:6" x14ac:dyDescent="0.2">
      <c r="A126" s="71"/>
      <c r="B126" s="91"/>
      <c r="C126" s="69"/>
      <c r="D126" s="91"/>
      <c r="E126" s="69"/>
      <c r="F126" s="69"/>
    </row>
    <row r="127" spans="1:6" x14ac:dyDescent="0.2">
      <c r="B127" s="91"/>
      <c r="C127" s="69"/>
      <c r="D127" s="69"/>
      <c r="E127" s="69"/>
      <c r="F127" s="69"/>
    </row>
    <row r="128" spans="1:6" x14ac:dyDescent="0.2">
      <c r="B128" s="91"/>
      <c r="C128" s="70"/>
      <c r="D128" s="69"/>
      <c r="E128" s="69"/>
      <c r="F128" s="69"/>
    </row>
    <row r="129" spans="1:6" x14ac:dyDescent="0.2">
      <c r="B129" s="91"/>
      <c r="C129" s="69">
        <f>SUM(C116:C128)</f>
        <v>3227923</v>
      </c>
      <c r="D129" s="91"/>
      <c r="E129" s="91"/>
      <c r="F129" s="91"/>
    </row>
    <row r="130" spans="1:6" x14ac:dyDescent="0.2">
      <c r="A130" s="71"/>
      <c r="B130" s="91"/>
      <c r="C130" s="91"/>
      <c r="D130" s="91"/>
      <c r="E130" s="91"/>
      <c r="F130" s="91"/>
    </row>
    <row r="131" spans="1:6" x14ac:dyDescent="0.2">
      <c r="B131" s="91"/>
      <c r="C131" s="91"/>
      <c r="D131" s="91"/>
      <c r="E131" s="91"/>
      <c r="F131" s="91"/>
    </row>
    <row r="132" spans="1:6" x14ac:dyDescent="0.2">
      <c r="B132" s="91"/>
      <c r="C132" s="91"/>
      <c r="D132" s="91"/>
      <c r="E132" s="91"/>
      <c r="F132" s="91"/>
    </row>
    <row r="133" spans="1:6" x14ac:dyDescent="0.2">
      <c r="B133" s="82">
        <f>B121/1000</f>
        <v>5105.0150000000003</v>
      </c>
      <c r="C133" s="82">
        <f>C129/1000</f>
        <v>3227.9229999999998</v>
      </c>
      <c r="D133" s="82">
        <f>D125/1000</f>
        <v>6436.2749999999996</v>
      </c>
      <c r="E133" s="82">
        <f>E119/1000</f>
        <v>16285.5</v>
      </c>
      <c r="F133" s="82">
        <f>F119/1000</f>
        <v>1346.6790000000001</v>
      </c>
    </row>
    <row r="134" spans="1:6" x14ac:dyDescent="0.2">
      <c r="B134" s="91"/>
      <c r="C134" s="91"/>
      <c r="D134" s="91"/>
      <c r="E134" s="91"/>
      <c r="F134" s="91"/>
    </row>
    <row r="135" spans="1:6" x14ac:dyDescent="0.2">
      <c r="B135" s="91"/>
      <c r="C135" s="91"/>
      <c r="D135" s="91"/>
      <c r="E135" s="91"/>
      <c r="F135" s="91"/>
    </row>
    <row r="137" spans="1:6" x14ac:dyDescent="0.2">
      <c r="A137" s="119" t="s">
        <v>58</v>
      </c>
      <c r="B137" s="41" t="s">
        <v>26</v>
      </c>
      <c r="C137" s="41" t="s">
        <v>28</v>
      </c>
      <c r="D137" s="41" t="s">
        <v>29</v>
      </c>
      <c r="E137" s="41" t="s">
        <v>27</v>
      </c>
      <c r="F137" s="41" t="s">
        <v>30</v>
      </c>
    </row>
    <row r="138" spans="1:6" x14ac:dyDescent="0.2">
      <c r="B138" s="39">
        <v>4414372</v>
      </c>
      <c r="C138" s="39">
        <v>2651655</v>
      </c>
      <c r="D138" s="39">
        <v>720801</v>
      </c>
      <c r="E138" s="39">
        <v>68200</v>
      </c>
      <c r="F138" s="39">
        <v>199082</v>
      </c>
    </row>
    <row r="139" spans="1:6" x14ac:dyDescent="0.2">
      <c r="A139" s="65">
        <f>B142+C144+D146+E141+F140</f>
        <v>33385273</v>
      </c>
      <c r="B139" s="39">
        <v>78812</v>
      </c>
      <c r="C139" s="39">
        <v>142359</v>
      </c>
      <c r="D139" s="39">
        <v>56447</v>
      </c>
      <c r="E139" s="39">
        <v>14863052</v>
      </c>
      <c r="F139" s="121">
        <v>1184957</v>
      </c>
    </row>
    <row r="140" spans="1:6" x14ac:dyDescent="0.2">
      <c r="B140" s="39">
        <v>532488</v>
      </c>
      <c r="C140" s="39">
        <v>67165</v>
      </c>
      <c r="D140" s="39">
        <v>303400</v>
      </c>
      <c r="E140" s="121">
        <v>907350</v>
      </c>
      <c r="F140" s="120">
        <f>SUM(F138:F139)</f>
        <v>1384039</v>
      </c>
    </row>
    <row r="141" spans="1:6" x14ac:dyDescent="0.2">
      <c r="A141">
        <v>33385273</v>
      </c>
      <c r="B141" s="121">
        <v>97699</v>
      </c>
      <c r="C141" s="39">
        <v>48296</v>
      </c>
      <c r="D141" s="39">
        <v>60583</v>
      </c>
      <c r="E141" s="120">
        <f>SUM(E138:E140)</f>
        <v>15838602</v>
      </c>
    </row>
    <row r="142" spans="1:6" x14ac:dyDescent="0.2">
      <c r="A142" s="65">
        <f>A141-A139</f>
        <v>0</v>
      </c>
      <c r="B142" s="120">
        <f>SUM(B138:B141)</f>
        <v>5123371</v>
      </c>
      <c r="C142" s="39">
        <v>135875</v>
      </c>
      <c r="D142" s="39">
        <v>124245</v>
      </c>
    </row>
    <row r="143" spans="1:6" x14ac:dyDescent="0.2">
      <c r="C143" s="121">
        <v>529822</v>
      </c>
      <c r="D143" s="39">
        <f>6700084-1184957</f>
        <v>5515127</v>
      </c>
    </row>
    <row r="144" spans="1:6" x14ac:dyDescent="0.2">
      <c r="C144" s="120">
        <f>SUM(C138:C143)</f>
        <v>3575172</v>
      </c>
      <c r="D144" s="122">
        <v>667623</v>
      </c>
    </row>
    <row r="145" spans="1:6" x14ac:dyDescent="0.2">
      <c r="D145" s="121">
        <v>15863</v>
      </c>
    </row>
    <row r="146" spans="1:6" x14ac:dyDescent="0.2">
      <c r="B146" s="82">
        <f>B142/1000</f>
        <v>5123.3710000000001</v>
      </c>
      <c r="D146" s="120">
        <f>SUM(D138:D145)</f>
        <v>7464089</v>
      </c>
    </row>
    <row r="148" spans="1:6" x14ac:dyDescent="0.2">
      <c r="C148" s="82">
        <f>C144/1000</f>
        <v>3575.172</v>
      </c>
      <c r="D148" s="82">
        <f>D146/1000</f>
        <v>7464.0889999999999</v>
      </c>
      <c r="E148" s="82">
        <f>E141/1000</f>
        <v>15838.602000000001</v>
      </c>
      <c r="F148" s="82">
        <f>F140/1000</f>
        <v>1384.039</v>
      </c>
    </row>
    <row r="152" spans="1:6" x14ac:dyDescent="0.2">
      <c r="A152" s="119" t="s">
        <v>61</v>
      </c>
      <c r="B152" s="41" t="s">
        <v>26</v>
      </c>
      <c r="C152" s="41" t="s">
        <v>28</v>
      </c>
      <c r="D152" s="41" t="s">
        <v>29</v>
      </c>
      <c r="E152" s="41" t="s">
        <v>62</v>
      </c>
      <c r="F152" s="41" t="s">
        <v>30</v>
      </c>
    </row>
    <row r="153" spans="1:6" x14ac:dyDescent="0.2">
      <c r="B153" s="124">
        <v>4590010</v>
      </c>
      <c r="C153" s="124">
        <v>2634006</v>
      </c>
      <c r="D153" s="124">
        <v>15763</v>
      </c>
      <c r="E153" s="124">
        <v>11820</v>
      </c>
      <c r="F153" s="124">
        <v>218023</v>
      </c>
    </row>
    <row r="154" spans="1:6" x14ac:dyDescent="0.2">
      <c r="B154" s="124">
        <v>89032</v>
      </c>
      <c r="C154" s="124">
        <v>2500</v>
      </c>
      <c r="D154" s="124">
        <v>680068</v>
      </c>
      <c r="E154" s="124">
        <v>14132608</v>
      </c>
      <c r="F154" s="125">
        <v>1228339</v>
      </c>
    </row>
    <row r="155" spans="1:6" x14ac:dyDescent="0.2">
      <c r="B155" s="124">
        <v>377693</v>
      </c>
      <c r="C155" s="124">
        <v>158799</v>
      </c>
      <c r="D155" s="124">
        <v>55824</v>
      </c>
      <c r="E155" s="125">
        <v>744602</v>
      </c>
      <c r="F155" s="126">
        <f>SUM(F153:F154)</f>
        <v>1446362</v>
      </c>
    </row>
    <row r="156" spans="1:6" x14ac:dyDescent="0.2">
      <c r="B156" s="125">
        <v>101559</v>
      </c>
      <c r="C156" s="124">
        <v>93017</v>
      </c>
      <c r="D156" s="124">
        <v>284336</v>
      </c>
      <c r="E156" s="126">
        <f>SUM(E153:E155)</f>
        <v>14889030</v>
      </c>
      <c r="F156" s="124"/>
    </row>
    <row r="157" spans="1:6" x14ac:dyDescent="0.2">
      <c r="A157" s="65">
        <f>33933473-62388</f>
        <v>33871085</v>
      </c>
      <c r="B157" s="126">
        <f>SUM(B153:B156)</f>
        <v>5158294</v>
      </c>
      <c r="C157" s="124">
        <v>25319</v>
      </c>
      <c r="D157" s="124">
        <v>78334</v>
      </c>
      <c r="E157" s="124"/>
      <c r="F157" s="124"/>
    </row>
    <row r="158" spans="1:6" x14ac:dyDescent="0.2">
      <c r="B158" s="124"/>
      <c r="C158" s="124">
        <v>184897</v>
      </c>
      <c r="D158" s="124">
        <v>144523</v>
      </c>
      <c r="E158" s="124"/>
      <c r="F158" s="124"/>
    </row>
    <row r="159" spans="1:6" x14ac:dyDescent="0.2">
      <c r="B159" s="124"/>
      <c r="C159" s="125">
        <v>580252</v>
      </c>
      <c r="D159" s="124">
        <f>7944119-F154</f>
        <v>6715780</v>
      </c>
      <c r="E159" s="124"/>
      <c r="F159" s="124"/>
    </row>
    <row r="160" spans="1:6" x14ac:dyDescent="0.2">
      <c r="A160" s="65">
        <f>B157+C160+D161+E156+F155</f>
        <v>33871085</v>
      </c>
      <c r="B160" s="124"/>
      <c r="C160" s="126">
        <f>SUM(C153:C159)</f>
        <v>3678790</v>
      </c>
      <c r="D160" s="125">
        <v>723981</v>
      </c>
      <c r="E160" s="124"/>
      <c r="F160" s="124"/>
    </row>
    <row r="161" spans="1:9" x14ac:dyDescent="0.2">
      <c r="B161" s="124"/>
      <c r="C161" s="124"/>
      <c r="D161" s="126">
        <f>SUM(D153:D160)</f>
        <v>8698609</v>
      </c>
      <c r="E161" s="124"/>
      <c r="F161" s="124"/>
    </row>
    <row r="162" spans="1:9" x14ac:dyDescent="0.2">
      <c r="A162" s="65">
        <f>A160-A157</f>
        <v>0</v>
      </c>
    </row>
    <row r="163" spans="1:9" x14ac:dyDescent="0.2">
      <c r="B163" s="82">
        <f>B157/1000</f>
        <v>5158.2939999999999</v>
      </c>
      <c r="C163" s="82">
        <f>C160/1000</f>
        <v>3678.79</v>
      </c>
      <c r="D163" s="82">
        <f>D161/1000</f>
        <v>8698.6090000000004</v>
      </c>
      <c r="E163" s="82">
        <f>E156/1000</f>
        <v>14889.03</v>
      </c>
      <c r="F163" s="82">
        <f>F155/1000</f>
        <v>1446.3620000000001</v>
      </c>
    </row>
    <row r="166" spans="1:9" x14ac:dyDescent="0.2">
      <c r="A166" s="119" t="s">
        <v>63</v>
      </c>
      <c r="B166" s="41" t="s">
        <v>26</v>
      </c>
      <c r="C166" s="41" t="s">
        <v>28</v>
      </c>
      <c r="D166" s="41" t="s">
        <v>29</v>
      </c>
      <c r="E166" s="41" t="s">
        <v>62</v>
      </c>
      <c r="F166" s="41" t="s">
        <v>30</v>
      </c>
    </row>
    <row r="167" spans="1:9" x14ac:dyDescent="0.2">
      <c r="B167" s="39">
        <v>4395447</v>
      </c>
      <c r="C167" s="39">
        <v>2209644</v>
      </c>
      <c r="D167" s="39">
        <v>3463</v>
      </c>
      <c r="E167" s="39">
        <v>7150</v>
      </c>
      <c r="F167" s="39">
        <v>214611</v>
      </c>
      <c r="I167" s="134">
        <v>8458241</v>
      </c>
    </row>
    <row r="168" spans="1:9" x14ac:dyDescent="0.2">
      <c r="B168" s="39">
        <v>93418</v>
      </c>
      <c r="C168" s="39">
        <v>199310</v>
      </c>
      <c r="D168" s="39">
        <v>650073</v>
      </c>
      <c r="E168" s="39">
        <v>13378530</v>
      </c>
      <c r="F168" s="127">
        <v>1226079</v>
      </c>
      <c r="I168" s="135">
        <v>1226079</v>
      </c>
    </row>
    <row r="169" spans="1:9" x14ac:dyDescent="0.2">
      <c r="A169" s="65">
        <f>32979773-49590</f>
        <v>32930183</v>
      </c>
      <c r="B169" s="39">
        <v>449470</v>
      </c>
      <c r="C169" s="39">
        <v>59541</v>
      </c>
      <c r="D169" s="39">
        <v>25542</v>
      </c>
      <c r="E169" s="127">
        <v>761707</v>
      </c>
      <c r="F169" s="120">
        <f>SUM(F167:F168)</f>
        <v>1440690</v>
      </c>
      <c r="I169" s="134">
        <f>(I167-I168)</f>
        <v>7232162</v>
      </c>
    </row>
    <row r="170" spans="1:9" x14ac:dyDescent="0.2">
      <c r="A170" s="65">
        <f>B171+C174+D175+E170+F169</f>
        <v>32930183</v>
      </c>
      <c r="B170" s="127">
        <v>103328</v>
      </c>
      <c r="C170" s="39">
        <v>32766</v>
      </c>
      <c r="D170" s="39">
        <v>298200</v>
      </c>
      <c r="E170" s="120">
        <f>SUM(E167:E169)</f>
        <v>14147387</v>
      </c>
      <c r="F170" s="39"/>
      <c r="I170" s="140"/>
    </row>
    <row r="171" spans="1:9" x14ac:dyDescent="0.2">
      <c r="B171" s="120">
        <f>SUM(B167:B170)</f>
        <v>5041663</v>
      </c>
      <c r="C171" s="39">
        <v>86525</v>
      </c>
      <c r="D171" s="39">
        <v>84388</v>
      </c>
      <c r="E171" s="39"/>
      <c r="F171" s="39"/>
      <c r="I171" s="140"/>
    </row>
    <row r="172" spans="1:9" x14ac:dyDescent="0.2">
      <c r="A172" s="65">
        <f>A169-A170</f>
        <v>0</v>
      </c>
      <c r="B172" s="39"/>
      <c r="C172" s="151">
        <v>575849</v>
      </c>
      <c r="D172" s="39">
        <v>111638</v>
      </c>
      <c r="E172" s="39"/>
      <c r="F172" s="39"/>
      <c r="I172" s="140"/>
    </row>
    <row r="173" spans="1:9" x14ac:dyDescent="0.2">
      <c r="B173" s="39"/>
      <c r="C173" s="127">
        <v>4113</v>
      </c>
      <c r="D173" s="39">
        <f>8458241-F168</f>
        <v>7232162</v>
      </c>
      <c r="E173" s="39"/>
      <c r="F173" s="39"/>
      <c r="I173" s="140"/>
    </row>
    <row r="174" spans="1:9" x14ac:dyDescent="0.2">
      <c r="B174" s="39"/>
      <c r="C174" s="120">
        <f>SUM(C167:C173)</f>
        <v>3167748</v>
      </c>
      <c r="D174" s="127">
        <v>727229</v>
      </c>
      <c r="E174" s="39"/>
      <c r="F174" s="39"/>
      <c r="I174" s="140"/>
    </row>
    <row r="175" spans="1:9" x14ac:dyDescent="0.2">
      <c r="B175" s="39"/>
      <c r="C175" s="39"/>
      <c r="D175" s="120">
        <f>SUM(D167:D174)</f>
        <v>9132695</v>
      </c>
      <c r="E175" s="39"/>
      <c r="F175" s="39"/>
      <c r="I175" s="140"/>
    </row>
    <row r="176" spans="1:9" x14ac:dyDescent="0.2">
      <c r="B176" s="82"/>
      <c r="C176" s="82"/>
      <c r="D176" s="82"/>
      <c r="E176" s="82"/>
      <c r="F176" s="82"/>
      <c r="I176" s="140"/>
    </row>
    <row r="177" spans="1:10" x14ac:dyDescent="0.2">
      <c r="B177" s="82">
        <f>B171/1000</f>
        <v>5041.6629999999996</v>
      </c>
      <c r="C177" s="82">
        <f>C174/1000</f>
        <v>3167.748</v>
      </c>
      <c r="D177" s="82">
        <f>D175/1000</f>
        <v>9132.6949999999997</v>
      </c>
      <c r="E177" s="82">
        <f>E170/1000</f>
        <v>14147.387000000001</v>
      </c>
      <c r="F177" s="82">
        <f>F169/1000</f>
        <v>1440.69</v>
      </c>
      <c r="I177" s="140"/>
    </row>
    <row r="178" spans="1:10" x14ac:dyDescent="0.2">
      <c r="I178" s="140"/>
    </row>
    <row r="179" spans="1:10" x14ac:dyDescent="0.2">
      <c r="I179" s="140"/>
    </row>
    <row r="180" spans="1:10" x14ac:dyDescent="0.2">
      <c r="A180" s="119" t="s">
        <v>64</v>
      </c>
      <c r="B180" s="41" t="s">
        <v>26</v>
      </c>
      <c r="C180" s="41" t="s">
        <v>28</v>
      </c>
      <c r="D180" s="41" t="s">
        <v>29</v>
      </c>
      <c r="E180" s="41" t="s">
        <v>62</v>
      </c>
      <c r="F180" s="41" t="s">
        <v>30</v>
      </c>
      <c r="I180" s="140"/>
    </row>
    <row r="181" spans="1:10" x14ac:dyDescent="0.2">
      <c r="B181" s="146">
        <v>4489068</v>
      </c>
      <c r="C181" s="146">
        <v>2606988</v>
      </c>
      <c r="D181" s="131">
        <v>0</v>
      </c>
      <c r="E181" s="146">
        <v>12000</v>
      </c>
      <c r="F181" s="146">
        <v>223205</v>
      </c>
      <c r="I181" s="134">
        <v>8853221</v>
      </c>
      <c r="J181" s="65"/>
    </row>
    <row r="182" spans="1:10" x14ac:dyDescent="0.2">
      <c r="B182" s="146">
        <v>97619</v>
      </c>
      <c r="C182" s="146">
        <v>210929</v>
      </c>
      <c r="D182" s="146">
        <v>588521</v>
      </c>
      <c r="E182" s="146">
        <v>13486776</v>
      </c>
      <c r="F182" s="147">
        <v>1158414</v>
      </c>
      <c r="I182" s="135">
        <v>1158414</v>
      </c>
    </row>
    <row r="183" spans="1:10" x14ac:dyDescent="0.2">
      <c r="A183" s="145">
        <f>(34197227-157388)</f>
        <v>34039839</v>
      </c>
      <c r="B183" s="146">
        <v>562356</v>
      </c>
      <c r="C183" s="146">
        <v>51750</v>
      </c>
      <c r="D183" s="146">
        <v>74717</v>
      </c>
      <c r="E183" s="147">
        <v>766614</v>
      </c>
      <c r="F183" s="148">
        <f>SUM(F181:F182)</f>
        <v>1381619</v>
      </c>
      <c r="I183" s="134">
        <f>(I181-I182)</f>
        <v>7694807</v>
      </c>
    </row>
    <row r="184" spans="1:10" x14ac:dyDescent="0.2">
      <c r="A184" s="129">
        <f>B185+C190+D189+E184+F183</f>
        <v>34039839</v>
      </c>
      <c r="B184" s="147">
        <v>155135</v>
      </c>
      <c r="C184" s="146">
        <v>13836</v>
      </c>
      <c r="D184" s="146">
        <v>328742</v>
      </c>
      <c r="E184" s="148">
        <f>SUM(E181:E183)</f>
        <v>14265390</v>
      </c>
      <c r="F184" s="39"/>
    </row>
    <row r="185" spans="1:10" x14ac:dyDescent="0.2">
      <c r="A185" s="130"/>
      <c r="B185" s="148">
        <f>SUM(B181:B184)</f>
        <v>5304178</v>
      </c>
      <c r="C185" s="146">
        <v>96725</v>
      </c>
      <c r="D185" s="146">
        <v>100958</v>
      </c>
      <c r="E185" s="39"/>
      <c r="F185" s="39"/>
    </row>
    <row r="186" spans="1:10" x14ac:dyDescent="0.2">
      <c r="A186" s="129">
        <f>A183-A184</f>
        <v>0</v>
      </c>
      <c r="B186" s="39"/>
      <c r="C186" s="149">
        <v>526290</v>
      </c>
      <c r="D186" s="146">
        <v>124251</v>
      </c>
      <c r="E186" s="39"/>
      <c r="F186" s="39"/>
    </row>
    <row r="187" spans="1:10" x14ac:dyDescent="0.2">
      <c r="B187" s="39"/>
      <c r="C187" s="146">
        <v>3637</v>
      </c>
      <c r="D187" s="146">
        <f>8853221-F182</f>
        <v>7694807</v>
      </c>
      <c r="E187" s="39"/>
      <c r="F187" s="39"/>
    </row>
    <row r="188" spans="1:10" x14ac:dyDescent="0.2">
      <c r="B188" s="39"/>
      <c r="C188" s="146">
        <v>5000</v>
      </c>
      <c r="D188" s="147">
        <v>649931</v>
      </c>
      <c r="E188" s="39"/>
      <c r="F188" s="39"/>
    </row>
    <row r="189" spans="1:10" x14ac:dyDescent="0.2">
      <c r="B189" s="39"/>
      <c r="C189" s="147">
        <v>11570</v>
      </c>
      <c r="D189" s="148">
        <f>SUM(D181:D188)</f>
        <v>9561927</v>
      </c>
      <c r="E189" s="39"/>
      <c r="F189" s="39"/>
    </row>
    <row r="190" spans="1:10" ht="12.75" customHeight="1" x14ac:dyDescent="0.2">
      <c r="B190" s="82"/>
      <c r="C190" s="150">
        <f>SUM(C181:C189)</f>
        <v>3526725</v>
      </c>
      <c r="D190" s="82"/>
      <c r="E190" s="82"/>
      <c r="F190" s="82"/>
    </row>
    <row r="191" spans="1:10" ht="12.75" customHeight="1" x14ac:dyDescent="0.2">
      <c r="B191" s="82"/>
      <c r="C191" s="82"/>
      <c r="D191" s="82"/>
      <c r="E191" s="82"/>
      <c r="F191" s="82"/>
    </row>
    <row r="192" spans="1:10" x14ac:dyDescent="0.2">
      <c r="B192" s="82">
        <f>B185/1000</f>
        <v>5304.1779999999999</v>
      </c>
      <c r="C192" s="69">
        <f>C190/1000</f>
        <v>3526.7249999999999</v>
      </c>
      <c r="D192" s="82">
        <f>D189/1000</f>
        <v>9561.9269999999997</v>
      </c>
      <c r="E192" s="82">
        <f>E184/1000</f>
        <v>14265.39</v>
      </c>
      <c r="F192" s="82">
        <f>F183/1000</f>
        <v>1381.6189999999999</v>
      </c>
    </row>
    <row r="195" spans="1:9" x14ac:dyDescent="0.2">
      <c r="A195" s="119" t="s">
        <v>68</v>
      </c>
      <c r="B195" s="41" t="s">
        <v>26</v>
      </c>
      <c r="C195" s="41" t="s">
        <v>28</v>
      </c>
      <c r="D195" s="41" t="s">
        <v>29</v>
      </c>
      <c r="E195" s="41" t="s">
        <v>62</v>
      </c>
      <c r="F195" s="41" t="s">
        <v>30</v>
      </c>
      <c r="I195" s="140"/>
    </row>
    <row r="196" spans="1:9" ht="12.75" customHeight="1" x14ac:dyDescent="0.2">
      <c r="B196" s="131">
        <v>4404133</v>
      </c>
      <c r="C196" s="131">
        <v>2993090</v>
      </c>
      <c r="D196" s="131">
        <v>0</v>
      </c>
      <c r="E196" s="131">
        <v>0</v>
      </c>
      <c r="F196" s="131">
        <v>281298</v>
      </c>
      <c r="I196" s="142">
        <v>9109425</v>
      </c>
    </row>
    <row r="197" spans="1:9" ht="12.75" customHeight="1" x14ac:dyDescent="0.2">
      <c r="B197" s="131">
        <v>101319</v>
      </c>
      <c r="C197" s="131">
        <v>226891</v>
      </c>
      <c r="D197" s="131">
        <v>448172</v>
      </c>
      <c r="E197" s="131">
        <v>12369905</v>
      </c>
      <c r="F197" s="132">
        <v>1125816</v>
      </c>
      <c r="I197" s="135">
        <v>1125816</v>
      </c>
    </row>
    <row r="198" spans="1:9" ht="12.75" customHeight="1" x14ac:dyDescent="0.2">
      <c r="A198" s="143">
        <v>33394076</v>
      </c>
      <c r="B198" s="131">
        <v>568680</v>
      </c>
      <c r="C198" s="131">
        <v>23500</v>
      </c>
      <c r="D198" s="131">
        <v>67938</v>
      </c>
      <c r="E198" s="132">
        <v>882939</v>
      </c>
      <c r="F198" s="133">
        <f>SUM(F196:F197)</f>
        <v>1407114</v>
      </c>
      <c r="I198" s="134">
        <f>(I196-I197)</f>
        <v>7983609</v>
      </c>
    </row>
    <row r="199" spans="1:9" ht="12.75" customHeight="1" x14ac:dyDescent="0.2">
      <c r="A199" s="129">
        <f>B200+C205+D204+E199+F198</f>
        <v>33394076</v>
      </c>
      <c r="B199" s="132">
        <v>72231</v>
      </c>
      <c r="C199" s="131">
        <v>25514</v>
      </c>
      <c r="D199" s="131">
        <v>355392</v>
      </c>
      <c r="E199" s="133">
        <f>SUM(E196:E198)</f>
        <v>13252844</v>
      </c>
      <c r="F199" s="39"/>
    </row>
    <row r="200" spans="1:9" ht="12.75" customHeight="1" x14ac:dyDescent="0.2">
      <c r="A200" s="130"/>
      <c r="B200" s="133">
        <f>SUM(B196:B199)</f>
        <v>5146363</v>
      </c>
      <c r="C200" s="131">
        <v>72451</v>
      </c>
      <c r="D200" s="131">
        <v>97993</v>
      </c>
      <c r="E200" s="39"/>
      <c r="F200" s="39"/>
    </row>
    <row r="201" spans="1:9" ht="12.75" customHeight="1" x14ac:dyDescent="0.2">
      <c r="A201" s="129">
        <f>A198-A199</f>
        <v>0</v>
      </c>
      <c r="B201" s="39"/>
      <c r="C201" s="152">
        <v>480484</v>
      </c>
      <c r="D201" s="131">
        <v>146869</v>
      </c>
      <c r="E201" s="39"/>
      <c r="F201" s="39"/>
    </row>
    <row r="202" spans="1:9" ht="12.75" customHeight="1" x14ac:dyDescent="0.2">
      <c r="B202" s="39"/>
      <c r="C202" s="153">
        <v>11696</v>
      </c>
      <c r="D202" s="131">
        <f>9109425-F197</f>
        <v>7983609</v>
      </c>
      <c r="E202" s="39"/>
      <c r="F202" s="39"/>
    </row>
    <row r="203" spans="1:9" ht="12.75" customHeight="1" x14ac:dyDescent="0.2">
      <c r="B203" s="39"/>
      <c r="C203" s="131">
        <v>15000</v>
      </c>
      <c r="D203" s="132">
        <v>631783</v>
      </c>
      <c r="E203" s="39"/>
      <c r="F203" s="39"/>
    </row>
    <row r="204" spans="1:9" ht="12.75" customHeight="1" x14ac:dyDescent="0.2">
      <c r="B204" s="39"/>
      <c r="C204" s="131">
        <v>7373</v>
      </c>
      <c r="D204" s="120">
        <f>SUM(D196:D203)</f>
        <v>9731756</v>
      </c>
      <c r="E204" s="39"/>
      <c r="F204" s="39"/>
    </row>
    <row r="205" spans="1:9" ht="12.75" customHeight="1" x14ac:dyDescent="0.2">
      <c r="B205" s="82"/>
      <c r="C205" s="133">
        <f>SUM(C196:C204)</f>
        <v>3855999</v>
      </c>
      <c r="D205" s="82"/>
      <c r="E205" s="82"/>
      <c r="F205" s="82"/>
    </row>
    <row r="206" spans="1:9" ht="21" customHeight="1" x14ac:dyDescent="0.2">
      <c r="B206" s="82">
        <f>B200/1000</f>
        <v>5146.3630000000003</v>
      </c>
      <c r="C206" s="82">
        <f>C205/1000</f>
        <v>3855.9989999999998</v>
      </c>
      <c r="D206" s="82">
        <f>D204/1000</f>
        <v>9731.7559999999994</v>
      </c>
      <c r="E206" s="82">
        <f>E199/1000</f>
        <v>13252.843999999999</v>
      </c>
      <c r="F206" s="82">
        <f>F198/1000</f>
        <v>1407.114</v>
      </c>
    </row>
    <row r="208" spans="1:9" x14ac:dyDescent="0.2">
      <c r="D208" s="82"/>
    </row>
    <row r="209" spans="1:9" x14ac:dyDescent="0.2">
      <c r="A209" s="119" t="s">
        <v>71</v>
      </c>
      <c r="B209" s="41" t="s">
        <v>26</v>
      </c>
      <c r="C209" s="41" t="s">
        <v>28</v>
      </c>
      <c r="D209" s="41" t="s">
        <v>29</v>
      </c>
      <c r="E209" s="41" t="s">
        <v>62</v>
      </c>
      <c r="F209" s="41" t="s">
        <v>30</v>
      </c>
      <c r="I209" s="140"/>
    </row>
    <row r="210" spans="1:9" x14ac:dyDescent="0.2">
      <c r="B210" s="157">
        <v>4360408</v>
      </c>
      <c r="C210" s="157">
        <v>3141212</v>
      </c>
      <c r="D210" s="157">
        <v>0</v>
      </c>
      <c r="E210" s="157">
        <v>0</v>
      </c>
      <c r="F210" s="157">
        <v>308189</v>
      </c>
      <c r="I210" s="142">
        <v>9483275</v>
      </c>
    </row>
    <row r="211" spans="1:9" x14ac:dyDescent="0.2">
      <c r="B211" s="157">
        <v>176626</v>
      </c>
      <c r="C211" s="157">
        <v>66904</v>
      </c>
      <c r="D211" s="157">
        <v>457319</v>
      </c>
      <c r="E211" s="157">
        <v>11187720</v>
      </c>
      <c r="F211" s="158">
        <v>1121990</v>
      </c>
      <c r="I211" s="135">
        <v>1121990</v>
      </c>
    </row>
    <row r="212" spans="1:9" x14ac:dyDescent="0.2">
      <c r="A212" s="143">
        <v>32471994</v>
      </c>
      <c r="B212" s="157">
        <v>538138</v>
      </c>
      <c r="C212" s="157">
        <v>12000</v>
      </c>
      <c r="D212" s="157">
        <v>88372</v>
      </c>
      <c r="E212" s="158">
        <v>1028068</v>
      </c>
      <c r="F212" s="133">
        <f>SUM(F210:F211)</f>
        <v>1430179</v>
      </c>
      <c r="I212" s="134">
        <f>(I210-I211)</f>
        <v>8361285</v>
      </c>
    </row>
    <row r="213" spans="1:9" x14ac:dyDescent="0.2">
      <c r="A213" s="129">
        <f>B214+C219+D218+E213+F212</f>
        <v>32471994</v>
      </c>
      <c r="B213" s="158">
        <v>49220</v>
      </c>
      <c r="C213" s="157">
        <v>36242</v>
      </c>
      <c r="D213" s="157">
        <v>331391</v>
      </c>
      <c r="E213" s="133">
        <f>SUM(E210:E212)</f>
        <v>12215788</v>
      </c>
      <c r="F213" s="39"/>
    </row>
    <row r="214" spans="1:9" x14ac:dyDescent="0.2">
      <c r="A214" s="130"/>
      <c r="B214" s="133">
        <f>SUM(B210:B213)</f>
        <v>5124392</v>
      </c>
      <c r="C214" s="157">
        <v>50048</v>
      </c>
      <c r="D214" s="157">
        <v>70999</v>
      </c>
      <c r="E214" s="39"/>
      <c r="F214" s="39"/>
      <c r="I214" s="142">
        <v>32484276</v>
      </c>
    </row>
    <row r="215" spans="1:9" x14ac:dyDescent="0.2">
      <c r="A215" s="129">
        <f>A212-A213</f>
        <v>0</v>
      </c>
      <c r="B215" s="39"/>
      <c r="C215" s="159">
        <v>481953</v>
      </c>
      <c r="D215" s="157">
        <v>146247</v>
      </c>
      <c r="E215" s="39"/>
      <c r="F215" s="39"/>
      <c r="I215" s="135">
        <v>12282</v>
      </c>
    </row>
    <row r="216" spans="1:9" x14ac:dyDescent="0.2">
      <c r="B216" s="39"/>
      <c r="C216" s="159">
        <v>2491</v>
      </c>
      <c r="D216" s="157">
        <v>8361285</v>
      </c>
      <c r="E216" s="39"/>
      <c r="F216" s="39"/>
      <c r="I216" s="134">
        <f>(I214-I215)</f>
        <v>32471994</v>
      </c>
    </row>
    <row r="217" spans="1:9" x14ac:dyDescent="0.2">
      <c r="B217" s="39"/>
      <c r="C217" s="157">
        <v>15000</v>
      </c>
      <c r="D217" s="158">
        <v>436675</v>
      </c>
      <c r="E217" s="39"/>
      <c r="F217" s="39"/>
    </row>
    <row r="218" spans="1:9" x14ac:dyDescent="0.2">
      <c r="B218" s="39"/>
      <c r="C218" s="157">
        <v>3497</v>
      </c>
      <c r="D218" s="120">
        <f>SUM(D210:D217)</f>
        <v>9892288</v>
      </c>
      <c r="E218" s="39"/>
      <c r="F218" s="39"/>
    </row>
    <row r="219" spans="1:9" x14ac:dyDescent="0.2">
      <c r="B219" s="82"/>
      <c r="C219" s="161">
        <f>SUM(C210:C218)</f>
        <v>3809347</v>
      </c>
      <c r="D219" s="82"/>
      <c r="E219" s="82"/>
      <c r="F219" s="82"/>
    </row>
    <row r="220" spans="1:9" x14ac:dyDescent="0.2">
      <c r="B220" s="82">
        <f>B214/1000</f>
        <v>5124.3919999999998</v>
      </c>
      <c r="C220" s="82">
        <f>C219/1000</f>
        <v>3809.3470000000002</v>
      </c>
      <c r="D220" s="82">
        <f>D218/1000</f>
        <v>9892.2880000000005</v>
      </c>
      <c r="E220" s="82">
        <f>E213/1000</f>
        <v>12215.788</v>
      </c>
      <c r="F220" s="82">
        <f>F212/1000</f>
        <v>1430.1790000000001</v>
      </c>
    </row>
    <row r="223" spans="1:9" x14ac:dyDescent="0.2">
      <c r="A223" s="119" t="s">
        <v>75</v>
      </c>
      <c r="B223" s="41" t="s">
        <v>26</v>
      </c>
      <c r="C223" s="41" t="s">
        <v>28</v>
      </c>
      <c r="D223" s="41" t="s">
        <v>29</v>
      </c>
      <c r="E223" s="41" t="s">
        <v>62</v>
      </c>
      <c r="F223" s="41" t="s">
        <v>30</v>
      </c>
      <c r="I223" s="140"/>
    </row>
    <row r="224" spans="1:9" x14ac:dyDescent="0.2">
      <c r="B224" s="157">
        <v>4478387</v>
      </c>
      <c r="C224" s="157">
        <v>3775242</v>
      </c>
      <c r="D224" s="157">
        <v>0</v>
      </c>
      <c r="E224" s="157">
        <v>0</v>
      </c>
      <c r="F224" s="157">
        <v>322429</v>
      </c>
      <c r="I224" s="142">
        <v>9027347</v>
      </c>
    </row>
    <row r="225" spans="1:9" x14ac:dyDescent="0.2">
      <c r="B225" s="157">
        <v>112150</v>
      </c>
      <c r="C225" s="157">
        <v>81791</v>
      </c>
      <c r="D225" s="157">
        <v>389320</v>
      </c>
      <c r="E225" s="157">
        <v>10504927</v>
      </c>
      <c r="F225" s="158">
        <v>1027207</v>
      </c>
      <c r="I225" s="135">
        <v>1027207</v>
      </c>
    </row>
    <row r="226" spans="1:9" x14ac:dyDescent="0.2">
      <c r="A226" s="143">
        <v>33141844</v>
      </c>
      <c r="B226" s="157">
        <v>468474</v>
      </c>
      <c r="C226" s="157">
        <v>46501</v>
      </c>
      <c r="D226" s="157">
        <v>130031</v>
      </c>
      <c r="E226" s="158">
        <v>869910</v>
      </c>
      <c r="F226" s="133">
        <f>SUM(F224:F225)</f>
        <v>1349636</v>
      </c>
      <c r="I226" s="134">
        <f>(I224-I225)</f>
        <v>8000140</v>
      </c>
    </row>
    <row r="227" spans="1:9" x14ac:dyDescent="0.2">
      <c r="A227" s="129">
        <f>B229+C234+D232+E227+F226</f>
        <v>33141844</v>
      </c>
      <c r="B227" s="159">
        <v>41877</v>
      </c>
      <c r="C227" s="157">
        <v>38840</v>
      </c>
      <c r="D227" s="157">
        <v>267837</v>
      </c>
      <c r="E227" s="133">
        <f>SUM(E224:E226)</f>
        <v>11374837</v>
      </c>
      <c r="F227" s="39"/>
    </row>
    <row r="228" spans="1:9" x14ac:dyDescent="0.2">
      <c r="A228" s="130"/>
      <c r="B228" s="163">
        <v>455648</v>
      </c>
      <c r="C228" s="157">
        <v>10000</v>
      </c>
      <c r="D228" s="157">
        <v>86764</v>
      </c>
      <c r="E228" s="39"/>
      <c r="F228" s="39"/>
      <c r="I228" s="142">
        <v>33176044</v>
      </c>
    </row>
    <row r="229" spans="1:9" x14ac:dyDescent="0.2">
      <c r="A229" s="129">
        <f>A226-A227</f>
        <v>0</v>
      </c>
      <c r="B229" s="133">
        <f>SUM(B224:B228)</f>
        <v>5556536</v>
      </c>
      <c r="C229" s="159">
        <v>469935</v>
      </c>
      <c r="D229" s="157">
        <v>175970</v>
      </c>
      <c r="E229" s="39"/>
      <c r="F229" s="39"/>
      <c r="I229" s="135">
        <v>34200</v>
      </c>
    </row>
    <row r="230" spans="1:9" x14ac:dyDescent="0.2">
      <c r="B230" s="39"/>
      <c r="C230" s="159">
        <v>0</v>
      </c>
      <c r="D230" s="162">
        <v>8000140</v>
      </c>
      <c r="E230" s="39"/>
      <c r="F230" s="39"/>
      <c r="I230" s="134">
        <f>(I228-I229)</f>
        <v>33141844</v>
      </c>
    </row>
    <row r="231" spans="1:9" x14ac:dyDescent="0.2">
      <c r="B231" s="39"/>
      <c r="C231" s="164">
        <v>690635</v>
      </c>
      <c r="D231" s="158">
        <v>674656</v>
      </c>
      <c r="E231" s="39"/>
      <c r="F231" s="39"/>
    </row>
    <row r="232" spans="1:9" x14ac:dyDescent="0.2">
      <c r="B232" s="39"/>
      <c r="C232" s="157">
        <v>2500</v>
      </c>
      <c r="D232" s="120">
        <f>SUM(D224:D231)</f>
        <v>9724718</v>
      </c>
      <c r="E232" s="39"/>
      <c r="F232" s="39"/>
    </row>
    <row r="233" spans="1:9" x14ac:dyDescent="0.2">
      <c r="B233" s="82"/>
      <c r="C233" s="157">
        <v>20673</v>
      </c>
      <c r="D233" s="82"/>
      <c r="E233" s="82"/>
      <c r="F233" s="82"/>
    </row>
    <row r="234" spans="1:9" x14ac:dyDescent="0.2">
      <c r="B234" s="82">
        <f>B229/1000</f>
        <v>5556.5360000000001</v>
      </c>
      <c r="C234" s="161">
        <f>SUM(C224:C233)</f>
        <v>5136117</v>
      </c>
      <c r="D234" s="82">
        <f>D232/1000</f>
        <v>9724.7180000000008</v>
      </c>
      <c r="E234" s="82">
        <f>E227/1000</f>
        <v>11374.837</v>
      </c>
      <c r="F234" s="82">
        <f>F226/1000</f>
        <v>1349.636</v>
      </c>
    </row>
    <row r="235" spans="1:9" x14ac:dyDescent="0.2">
      <c r="B235" s="82"/>
      <c r="C235" s="82">
        <f>C234/1000</f>
        <v>5136.1170000000002</v>
      </c>
      <c r="D235" s="82"/>
      <c r="E235" s="82"/>
      <c r="F235" s="82"/>
    </row>
    <row r="238" spans="1:9" x14ac:dyDescent="0.2">
      <c r="A238" s="119" t="s">
        <v>76</v>
      </c>
      <c r="B238" s="41" t="s">
        <v>26</v>
      </c>
      <c r="C238" s="41" t="s">
        <v>28</v>
      </c>
      <c r="D238" s="41" t="s">
        <v>29</v>
      </c>
      <c r="E238" s="41" t="s">
        <v>62</v>
      </c>
      <c r="F238" s="41" t="s">
        <v>30</v>
      </c>
      <c r="I238" s="140"/>
    </row>
    <row r="239" spans="1:9" x14ac:dyDescent="0.2">
      <c r="B239" s="157">
        <v>4269511</v>
      </c>
      <c r="C239" s="157">
        <v>3953113</v>
      </c>
      <c r="D239" s="157">
        <v>0</v>
      </c>
      <c r="E239" s="157">
        <v>0</v>
      </c>
      <c r="F239" s="157">
        <v>223694</v>
      </c>
      <c r="I239" s="142">
        <v>9238452</v>
      </c>
    </row>
    <row r="240" spans="1:9" x14ac:dyDescent="0.2">
      <c r="B240" s="157">
        <v>85052</v>
      </c>
      <c r="C240" s="157">
        <v>28167</v>
      </c>
      <c r="D240" s="157">
        <v>440577</v>
      </c>
      <c r="E240" s="157">
        <v>9729701</v>
      </c>
      <c r="F240" s="158">
        <v>1066973</v>
      </c>
      <c r="I240" s="135">
        <v>1066973</v>
      </c>
    </row>
    <row r="241" spans="1:9" x14ac:dyDescent="0.2">
      <c r="A241" s="143">
        <v>33103846</v>
      </c>
      <c r="B241" s="157">
        <v>480838</v>
      </c>
      <c r="C241" s="157">
        <v>11597</v>
      </c>
      <c r="D241" s="157">
        <v>4751</v>
      </c>
      <c r="E241" s="158">
        <v>701548</v>
      </c>
      <c r="F241" s="133">
        <f>SUM(F239:F240)</f>
        <v>1290667</v>
      </c>
      <c r="I241" s="134">
        <f>(I239-I240)</f>
        <v>8171479</v>
      </c>
    </row>
    <row r="242" spans="1:9" x14ac:dyDescent="0.2">
      <c r="A242" s="129">
        <f>B244+C250+D247+E242+F241</f>
        <v>33103846</v>
      </c>
      <c r="B242" s="159">
        <v>22892</v>
      </c>
      <c r="C242" s="157">
        <v>11376</v>
      </c>
      <c r="D242" s="157">
        <v>200184</v>
      </c>
      <c r="E242" s="133">
        <f>SUM(E239:E241)</f>
        <v>10431249</v>
      </c>
      <c r="F242" s="39"/>
    </row>
    <row r="243" spans="1:9" x14ac:dyDescent="0.2">
      <c r="A243" s="130"/>
      <c r="B243" s="163">
        <v>954970</v>
      </c>
      <c r="C243" s="157">
        <v>3850</v>
      </c>
      <c r="D243" s="157">
        <v>75234</v>
      </c>
      <c r="E243" s="39"/>
      <c r="F243" s="39"/>
      <c r="I243" s="142">
        <v>33124370</v>
      </c>
    </row>
    <row r="244" spans="1:9" x14ac:dyDescent="0.2">
      <c r="A244" s="129">
        <f>A241-A242</f>
        <v>0</v>
      </c>
      <c r="B244" s="133">
        <f>SUM(B239:B243)</f>
        <v>5813263</v>
      </c>
      <c r="C244" s="159">
        <v>484296</v>
      </c>
      <c r="D244" s="157">
        <v>146121</v>
      </c>
      <c r="E244" s="39"/>
      <c r="F244" s="39"/>
      <c r="I244" s="135">
        <v>20524</v>
      </c>
    </row>
    <row r="245" spans="1:9" x14ac:dyDescent="0.2">
      <c r="B245" s="39"/>
      <c r="C245" s="159">
        <v>0</v>
      </c>
      <c r="D245" s="162">
        <v>8171479</v>
      </c>
      <c r="E245" s="39"/>
      <c r="F245" s="39"/>
      <c r="I245" s="134">
        <f>(I243-I244)</f>
        <v>33103846</v>
      </c>
    </row>
    <row r="246" spans="1:9" x14ac:dyDescent="0.2">
      <c r="B246" s="39"/>
      <c r="C246" s="164">
        <v>1391596</v>
      </c>
      <c r="D246" s="158">
        <v>489828</v>
      </c>
      <c r="E246" s="39"/>
      <c r="F246" s="39"/>
    </row>
    <row r="247" spans="1:9" x14ac:dyDescent="0.2">
      <c r="B247" s="39"/>
      <c r="C247" s="164">
        <v>140555</v>
      </c>
      <c r="D247" s="120">
        <f>SUM(D239:D246)</f>
        <v>9528174</v>
      </c>
      <c r="E247" s="39"/>
      <c r="F247" s="39"/>
    </row>
    <row r="248" spans="1:9" x14ac:dyDescent="0.2">
      <c r="B248" s="82"/>
      <c r="C248" s="157">
        <v>0</v>
      </c>
      <c r="D248" s="82"/>
      <c r="E248" s="82"/>
      <c r="F248" s="82"/>
    </row>
    <row r="249" spans="1:9" x14ac:dyDescent="0.2">
      <c r="B249" s="82">
        <f>B244/1000</f>
        <v>5813.2629999999999</v>
      </c>
      <c r="C249" s="157">
        <v>15943</v>
      </c>
      <c r="D249" s="82">
        <f>D247/1000</f>
        <v>9528.1740000000009</v>
      </c>
      <c r="E249" s="82">
        <f>E242/1000</f>
        <v>10431.249</v>
      </c>
      <c r="F249" s="82">
        <f>F241/1000</f>
        <v>1290.6669999999999</v>
      </c>
    </row>
    <row r="250" spans="1:9" x14ac:dyDescent="0.2">
      <c r="C250" s="161">
        <f>SUM(C239:C249)</f>
        <v>6040493</v>
      </c>
    </row>
    <row r="251" spans="1:9" x14ac:dyDescent="0.2">
      <c r="C251" s="82">
        <f>C250/1000</f>
        <v>6040.4930000000004</v>
      </c>
    </row>
    <row r="253" spans="1:9" x14ac:dyDescent="0.2">
      <c r="A253" s="165" t="s">
        <v>77</v>
      </c>
    </row>
  </sheetData>
  <customSheetViews>
    <customSheetView guid="{BA9A371C-F5E4-48D6-83C9-79939E56F42F}" showPageBreaks="1" fitToPage="1" printArea="1" state="hidden" topLeftCell="A218">
      <selection activeCell="A253" sqref="A253"/>
      <pageMargins left="0.75" right="0.75" top="0.25" bottom="0.25" header="0.5" footer="0.5"/>
      <pageSetup scale="73" orientation="landscape" r:id="rId1"/>
      <headerFooter alignWithMargins="0"/>
    </customSheetView>
  </customSheetViews>
  <mergeCells count="1">
    <mergeCell ref="J20:K20"/>
  </mergeCells>
  <phoneticPr fontId="8" type="noConversion"/>
  <pageMargins left="0.75" right="0.75" top="0.25" bottom="0.25" header="0.5" footer="0.5"/>
  <pageSetup scale="73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customSheetViews>
    <customSheetView guid="{BA9A371C-F5E4-48D6-83C9-79939E56F42F}" state="hidden" topLeftCell="A7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</vt:lpstr>
      <vt:lpstr>Data</vt:lpstr>
      <vt:lpstr>Sheet1</vt:lpstr>
      <vt:lpstr>Data!Print_Area</vt:lpstr>
      <vt:lpstr>Report!Print_Area</vt:lpstr>
    </vt:vector>
  </TitlesOfParts>
  <Company>Univ. of Illinois at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Dorman, Laura Gransky</cp:lastModifiedBy>
  <cp:lastPrinted>2020-01-28T17:35:44Z</cp:lastPrinted>
  <dcterms:created xsi:type="dcterms:W3CDTF">1995-11-13T15:09:16Z</dcterms:created>
  <dcterms:modified xsi:type="dcterms:W3CDTF">2023-05-03T15:08:07Z</dcterms:modified>
</cp:coreProperties>
</file>